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C8619A1-2317-42D4-9AB2-F44BC873F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1" sheetId="19" r:id="rId1"/>
    <sheet name="L2" sheetId="11" r:id="rId2"/>
    <sheet name="L3" sheetId="31" r:id="rId3"/>
    <sheet name="L4" sheetId="5" r:id="rId4"/>
    <sheet name="L5" sheetId="7" r:id="rId5"/>
    <sheet name="L6" sheetId="30" r:id="rId6"/>
    <sheet name="L7" sheetId="6" r:id="rId7"/>
    <sheet name="L10" sheetId="22" r:id="rId8"/>
    <sheet name="L11" sheetId="23" r:id="rId9"/>
    <sheet name="L15" sheetId="32" r:id="rId10"/>
    <sheet name="L32" sheetId="33" r:id="rId11"/>
    <sheet name="L37FPI" sheetId="1" r:id="rId12"/>
    <sheet name="L37Lives" sheetId="2" r:id="rId13"/>
    <sheet name="L38 FPI" sheetId="4" r:id="rId14"/>
    <sheet name="L38 NOP" sheetId="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3" l="1"/>
  <c r="Y13" i="33" s="1"/>
  <c r="AA13" i="33" s="1"/>
  <c r="Y16" i="33"/>
  <c r="C9" i="32"/>
  <c r="AW9" i="32" s="1"/>
  <c r="BA9" i="32" s="1"/>
  <c r="C10" i="6"/>
  <c r="C35" i="30"/>
  <c r="C36" i="30"/>
  <c r="B28" i="7"/>
  <c r="AD8" i="19"/>
  <c r="Z13" i="33"/>
  <c r="AY20" i="32"/>
  <c r="AY10" i="32"/>
  <c r="AY8" i="22"/>
  <c r="AY15" i="6"/>
  <c r="AY36" i="30"/>
  <c r="AY66" i="31"/>
  <c r="AX8" i="19"/>
  <c r="X13" i="33"/>
  <c r="AU42" i="32"/>
  <c r="AU38" i="32"/>
  <c r="AW38" i="32" s="1"/>
  <c r="BA38" i="32" s="1"/>
  <c r="AU32" i="32"/>
  <c r="AU25" i="32"/>
  <c r="AU22" i="32"/>
  <c r="AU19" i="32"/>
  <c r="AU13" i="32"/>
  <c r="AU22" i="6"/>
  <c r="AU10" i="6"/>
  <c r="AU36" i="30"/>
  <c r="AU66" i="31"/>
  <c r="AU33" i="31"/>
  <c r="AV19" i="19"/>
  <c r="AQ42" i="32"/>
  <c r="AQ36" i="30"/>
  <c r="AQ31" i="31"/>
  <c r="AO42" i="32"/>
  <c r="AO32" i="32"/>
  <c r="AO25" i="32"/>
  <c r="AO36" i="30"/>
  <c r="AK42" i="32"/>
  <c r="AK36" i="30"/>
  <c r="AK8" i="30"/>
  <c r="AK27" i="11"/>
  <c r="AI36" i="30"/>
  <c r="AI66" i="31"/>
  <c r="AG42" i="32"/>
  <c r="AG32" i="32"/>
  <c r="AG25" i="32"/>
  <c r="AG22" i="32"/>
  <c r="AG13" i="32"/>
  <c r="AG12" i="22"/>
  <c r="AG36" i="30"/>
  <c r="AG26" i="11"/>
  <c r="AG27" i="11" s="1"/>
  <c r="AE32" i="32"/>
  <c r="AE25" i="32"/>
  <c r="AE22" i="32"/>
  <c r="AE13" i="32"/>
  <c r="AE36" i="30"/>
  <c r="AF19" i="19"/>
  <c r="AA41" i="11"/>
  <c r="AA31" i="31"/>
  <c r="AA36" i="30"/>
  <c r="AA42" i="32"/>
  <c r="Y42" i="32"/>
  <c r="Y36" i="30"/>
  <c r="Y65" i="31"/>
  <c r="Y60" i="31"/>
  <c r="AW60" i="31" s="1"/>
  <c r="BA60" i="31" s="1"/>
  <c r="Y23" i="11"/>
  <c r="AW23" i="11" s="1"/>
  <c r="BA23" i="11" s="1"/>
  <c r="Z19" i="19"/>
  <c r="Z8" i="19"/>
  <c r="W31" i="30"/>
  <c r="AW31" i="30" s="1"/>
  <c r="BA31" i="30" s="1"/>
  <c r="W66" i="31"/>
  <c r="X57" i="19"/>
  <c r="W18" i="4"/>
  <c r="W42" i="32"/>
  <c r="W19" i="32"/>
  <c r="W13" i="32"/>
  <c r="U22" i="6"/>
  <c r="U36" i="30"/>
  <c r="U27" i="11"/>
  <c r="V57" i="19"/>
  <c r="P14" i="11"/>
  <c r="Q14" i="11"/>
  <c r="AY12" i="7"/>
  <c r="AX14" i="5"/>
  <c r="O36" i="30"/>
  <c r="O66" i="31"/>
  <c r="M23" i="31"/>
  <c r="M17" i="31"/>
  <c r="M22" i="11"/>
  <c r="M14" i="11"/>
  <c r="K36" i="30"/>
  <c r="K26" i="11"/>
  <c r="L19" i="19"/>
  <c r="D57" i="19"/>
  <c r="I36" i="30"/>
  <c r="I12" i="7"/>
  <c r="G23" i="31"/>
  <c r="G19" i="31"/>
  <c r="G18" i="31"/>
  <c r="G22" i="11"/>
  <c r="H17" i="19"/>
  <c r="F19" i="19"/>
  <c r="E22" i="11"/>
  <c r="E26" i="31"/>
  <c r="C28" i="7"/>
  <c r="I50" i="31"/>
  <c r="I47" i="31"/>
  <c r="I10" i="31"/>
  <c r="Q8" i="19"/>
  <c r="N19" i="11"/>
  <c r="O27" i="11"/>
  <c r="O19" i="19"/>
  <c r="AW19" i="19"/>
  <c r="AX66" i="31"/>
  <c r="AU19" i="19"/>
  <c r="AR19" i="11"/>
  <c r="AJ27" i="11"/>
  <c r="AK19" i="19"/>
  <c r="AI19" i="19"/>
  <c r="AE19" i="19"/>
  <c r="AI27" i="11"/>
  <c r="AC8" i="19"/>
  <c r="AE27" i="11"/>
  <c r="Z31" i="31"/>
  <c r="AA13" i="11"/>
  <c r="AA8" i="19"/>
  <c r="Y19" i="19"/>
  <c r="Y8" i="19"/>
  <c r="X65" i="31"/>
  <c r="X60" i="31"/>
  <c r="X23" i="11"/>
  <c r="W57" i="19"/>
  <c r="W8" i="19"/>
  <c r="V41" i="11"/>
  <c r="V27" i="11"/>
  <c r="W27" i="11"/>
  <c r="K27" i="11"/>
  <c r="J27" i="11"/>
  <c r="K19" i="19"/>
  <c r="K8" i="19"/>
  <c r="U57" i="19"/>
  <c r="U8" i="19"/>
  <c r="R66" i="31"/>
  <c r="R31" i="31"/>
  <c r="R26" i="31"/>
  <c r="R17" i="31"/>
  <c r="N66" i="31"/>
  <c r="D26" i="31"/>
  <c r="D22" i="11"/>
  <c r="B41" i="11"/>
  <c r="B14" i="11"/>
  <c r="C57" i="19"/>
  <c r="AQ19" i="19"/>
  <c r="AP31" i="31"/>
  <c r="AP36" i="30"/>
  <c r="AN36" i="30"/>
  <c r="AJ36" i="30"/>
  <c r="AJ8" i="30"/>
  <c r="AF36" i="30"/>
  <c r="AD36" i="30"/>
  <c r="AB36" i="30"/>
  <c r="Z36" i="30"/>
  <c r="V31" i="30"/>
  <c r="AV31" i="30"/>
  <c r="AZ31" i="30"/>
  <c r="T36" i="30"/>
  <c r="R36" i="30"/>
  <c r="R12" i="30"/>
  <c r="N36" i="30"/>
  <c r="AR22" i="6"/>
  <c r="Z22" i="6"/>
  <c r="T22" i="6"/>
  <c r="AT66" i="31"/>
  <c r="AT33" i="31"/>
  <c r="AT36" i="30"/>
  <c r="AT10" i="6"/>
  <c r="AW7" i="32"/>
  <c r="AW8" i="32"/>
  <c r="AW10" i="32"/>
  <c r="BA10" i="32" s="1"/>
  <c r="AW11" i="32"/>
  <c r="BA11" i="32" s="1"/>
  <c r="AW12" i="32"/>
  <c r="BA12" i="32" s="1"/>
  <c r="AW14" i="32"/>
  <c r="AW15" i="32"/>
  <c r="AW16" i="32"/>
  <c r="AW17" i="32"/>
  <c r="AW18" i="32"/>
  <c r="AW20" i="32"/>
  <c r="BA20" i="32" s="1"/>
  <c r="AW21" i="32"/>
  <c r="BA21" i="32" s="1"/>
  <c r="AW23" i="32"/>
  <c r="AW24" i="32"/>
  <c r="BA24" i="32" s="1"/>
  <c r="AW26" i="32"/>
  <c r="AW27" i="32"/>
  <c r="AW28" i="32"/>
  <c r="BA28" i="32"/>
  <c r="AW29" i="32"/>
  <c r="BA29" i="32"/>
  <c r="AW30" i="32"/>
  <c r="AW31" i="32"/>
  <c r="AW33" i="32"/>
  <c r="AW34" i="32"/>
  <c r="BA34" i="32" s="1"/>
  <c r="AW35" i="32"/>
  <c r="BA35" i="32" s="1"/>
  <c r="AW36" i="32"/>
  <c r="BA36" i="32" s="1"/>
  <c r="AW37" i="32"/>
  <c r="BA37" i="32" s="1"/>
  <c r="AW39" i="32"/>
  <c r="BA39" i="32" s="1"/>
  <c r="AW40" i="32"/>
  <c r="AW41" i="32"/>
  <c r="BA41" i="32" s="1"/>
  <c r="AV7" i="32"/>
  <c r="AV8" i="32"/>
  <c r="AV9" i="32"/>
  <c r="AV10" i="32"/>
  <c r="AV11" i="32"/>
  <c r="AV12" i="32"/>
  <c r="AV13" i="32"/>
  <c r="AV14" i="32"/>
  <c r="AZ14" i="32"/>
  <c r="AV15" i="32"/>
  <c r="AV16" i="32"/>
  <c r="AV17" i="32"/>
  <c r="AV18" i="32"/>
  <c r="AV19" i="32"/>
  <c r="AV20" i="32"/>
  <c r="AV21" i="32"/>
  <c r="AV22" i="32"/>
  <c r="AZ22" i="32"/>
  <c r="AV23" i="32"/>
  <c r="AV24" i="32"/>
  <c r="AV25" i="32"/>
  <c r="AV26" i="32"/>
  <c r="AV27" i="32"/>
  <c r="AV28" i="32"/>
  <c r="AV29" i="32"/>
  <c r="AV30" i="32"/>
  <c r="AZ30" i="32"/>
  <c r="AV31" i="32"/>
  <c r="AV32" i="32"/>
  <c r="AV33" i="32"/>
  <c r="AV34" i="32"/>
  <c r="AV35" i="32"/>
  <c r="AV36" i="32"/>
  <c r="AV37" i="32"/>
  <c r="AV38" i="32"/>
  <c r="AV39" i="32"/>
  <c r="AV40" i="32"/>
  <c r="AV41" i="32"/>
  <c r="AV42" i="32"/>
  <c r="AW6" i="32"/>
  <c r="AV6" i="32"/>
  <c r="AQ32" i="32"/>
  <c r="AQ25" i="32"/>
  <c r="AQ22" i="32"/>
  <c r="AQ19" i="32"/>
  <c r="AQ13" i="32"/>
  <c r="AO13" i="32"/>
  <c r="AO22" i="32" s="1"/>
  <c r="AK32" i="32"/>
  <c r="AK25" i="32"/>
  <c r="AK22" i="32"/>
  <c r="AK19" i="32"/>
  <c r="AK13" i="32"/>
  <c r="AI32" i="32"/>
  <c r="AI42" i="32" s="1"/>
  <c r="AI25" i="32"/>
  <c r="AI22" i="32"/>
  <c r="AI19" i="32"/>
  <c r="AI13" i="32"/>
  <c r="AG19" i="32"/>
  <c r="AC19" i="32"/>
  <c r="AC13" i="32"/>
  <c r="AA32" i="32"/>
  <c r="AA25" i="32"/>
  <c r="AA22" i="32"/>
  <c r="AA19" i="32"/>
  <c r="AA13" i="32"/>
  <c r="Y32" i="32"/>
  <c r="Y25" i="32"/>
  <c r="Y22" i="32"/>
  <c r="Y19" i="32"/>
  <c r="Y13" i="32"/>
  <c r="W32" i="32"/>
  <c r="W25" i="32"/>
  <c r="W22" i="32"/>
  <c r="P10" i="32"/>
  <c r="P20" i="32"/>
  <c r="O13" i="32"/>
  <c r="M32" i="32"/>
  <c r="M25" i="32"/>
  <c r="M22" i="32"/>
  <c r="M13" i="32"/>
  <c r="I32" i="32"/>
  <c r="I25" i="32"/>
  <c r="I22" i="32"/>
  <c r="I19" i="32"/>
  <c r="I13" i="32"/>
  <c r="M19" i="19"/>
  <c r="L22" i="11"/>
  <c r="L14" i="11"/>
  <c r="L17" i="31"/>
  <c r="I31" i="19"/>
  <c r="H27" i="11"/>
  <c r="AY27" i="11"/>
  <c r="AU27" i="11"/>
  <c r="AU13" i="11"/>
  <c r="AS27" i="11"/>
  <c r="AS13" i="11"/>
  <c r="AQ27" i="11"/>
  <c r="AQ13" i="11"/>
  <c r="AO41" i="11"/>
  <c r="AO27" i="11"/>
  <c r="AO13" i="11"/>
  <c r="AK41" i="11"/>
  <c r="AK13" i="11"/>
  <c r="AI13" i="11"/>
  <c r="AG13" i="11"/>
  <c r="AE13" i="11"/>
  <c r="AC27" i="11"/>
  <c r="AC13" i="11"/>
  <c r="AA27" i="11"/>
  <c r="Y27" i="11"/>
  <c r="Y13" i="11"/>
  <c r="W13" i="11"/>
  <c r="U41" i="11"/>
  <c r="U13" i="11"/>
  <c r="S41" i="11"/>
  <c r="S27" i="11"/>
  <c r="S13" i="11"/>
  <c r="Q27" i="11"/>
  <c r="Q13" i="11"/>
  <c r="O41" i="11"/>
  <c r="O13" i="11"/>
  <c r="M13" i="11"/>
  <c r="K41" i="11"/>
  <c r="K13" i="11"/>
  <c r="I27" i="11"/>
  <c r="I13" i="11"/>
  <c r="E41" i="11"/>
  <c r="E27" i="11"/>
  <c r="E13" i="11"/>
  <c r="C41" i="11"/>
  <c r="C27" i="11"/>
  <c r="C13" i="11"/>
  <c r="AW36" i="11"/>
  <c r="BA36" i="11" s="1"/>
  <c r="H36" i="30"/>
  <c r="H27" i="6"/>
  <c r="G17" i="19"/>
  <c r="F23" i="31"/>
  <c r="F19" i="31"/>
  <c r="AW18" i="31"/>
  <c r="BA18" i="31" s="1"/>
  <c r="F18" i="31"/>
  <c r="AA16" i="33"/>
  <c r="AW52" i="31"/>
  <c r="BA52" i="31"/>
  <c r="AW36" i="31"/>
  <c r="BA36" i="31"/>
  <c r="AW28" i="31"/>
  <c r="BA28" i="31" s="1"/>
  <c r="AW20" i="31"/>
  <c r="BA20" i="31" s="1"/>
  <c r="AW12" i="31"/>
  <c r="BA12" i="31" s="1"/>
  <c r="Y15" i="33"/>
  <c r="AA15" i="33" s="1"/>
  <c r="Y14" i="33"/>
  <c r="AA14" i="33" s="1"/>
  <c r="Y12" i="33"/>
  <c r="AA12" i="33" s="1"/>
  <c r="Y11" i="33"/>
  <c r="AA11" i="33" s="1"/>
  <c r="Y10" i="33"/>
  <c r="AA10" i="33" s="1"/>
  <c r="Y9" i="33"/>
  <c r="AA9" i="33" s="1"/>
  <c r="Y8" i="33"/>
  <c r="AA8" i="33" s="1"/>
  <c r="Y7" i="33"/>
  <c r="AA7" i="33" s="1"/>
  <c r="Y6" i="33"/>
  <c r="AA6" i="33" s="1"/>
  <c r="Y5" i="33"/>
  <c r="AA5" i="33" s="1"/>
  <c r="BA40" i="32"/>
  <c r="BA7" i="32"/>
  <c r="BA8" i="32"/>
  <c r="BA14" i="32"/>
  <c r="BA15" i="32"/>
  <c r="BA16" i="32"/>
  <c r="BA17" i="32"/>
  <c r="BA18" i="32"/>
  <c r="BA23" i="32"/>
  <c r="BA26" i="32"/>
  <c r="BA27" i="32"/>
  <c r="BA30" i="32"/>
  <c r="BA31" i="32"/>
  <c r="BA33" i="32"/>
  <c r="BA6" i="32"/>
  <c r="AZ27" i="32"/>
  <c r="AX20" i="32"/>
  <c r="AX10" i="32"/>
  <c r="AZ12" i="32"/>
  <c r="AX36" i="30"/>
  <c r="AX15" i="6"/>
  <c r="AX12" i="7"/>
  <c r="AF12" i="22"/>
  <c r="AF14" i="22"/>
  <c r="K32" i="32"/>
  <c r="K25" i="32"/>
  <c r="K22" i="32"/>
  <c r="K19" i="32"/>
  <c r="J36" i="30"/>
  <c r="C25" i="32"/>
  <c r="C42" i="32"/>
  <c r="C22" i="32"/>
  <c r="C19" i="32"/>
  <c r="C13" i="32"/>
  <c r="C32" i="32" s="1"/>
  <c r="AL42" i="32"/>
  <c r="F42" i="32"/>
  <c r="AZ33" i="32"/>
  <c r="AT32" i="32"/>
  <c r="AT42" i="32"/>
  <c r="AP32" i="32"/>
  <c r="AP42" i="32"/>
  <c r="AH32" i="32"/>
  <c r="AH42" i="32"/>
  <c r="N32" i="32"/>
  <c r="N42" i="32"/>
  <c r="L32" i="32"/>
  <c r="L42" i="32"/>
  <c r="J32" i="32"/>
  <c r="J42" i="32"/>
  <c r="AZ29" i="32"/>
  <c r="AZ28" i="32"/>
  <c r="AZ26" i="32"/>
  <c r="AT25" i="32"/>
  <c r="AP25" i="32"/>
  <c r="AH25" i="32"/>
  <c r="N25" i="32"/>
  <c r="L25" i="32"/>
  <c r="J25" i="32"/>
  <c r="B25" i="32"/>
  <c r="B32" i="32"/>
  <c r="AZ24" i="32"/>
  <c r="AZ23" i="32"/>
  <c r="AT22" i="32"/>
  <c r="AP22" i="32"/>
  <c r="AH22" i="32"/>
  <c r="P22" i="32"/>
  <c r="P25" i="32"/>
  <c r="P32" i="32"/>
  <c r="P42" i="32"/>
  <c r="N22" i="32"/>
  <c r="L22" i="32"/>
  <c r="J22" i="32"/>
  <c r="D22" i="32"/>
  <c r="D25" i="32"/>
  <c r="D32" i="32"/>
  <c r="D42" i="32"/>
  <c r="B22" i="32"/>
  <c r="AT19" i="32"/>
  <c r="AH19" i="32"/>
  <c r="P19" i="32"/>
  <c r="J19" i="32"/>
  <c r="H19" i="32"/>
  <c r="H22" i="32"/>
  <c r="B19" i="32"/>
  <c r="AZ18" i="32"/>
  <c r="AZ17" i="32"/>
  <c r="AZ16" i="32"/>
  <c r="AZ15" i="32"/>
  <c r="AT13" i="32"/>
  <c r="AR13" i="32"/>
  <c r="AR19" i="32"/>
  <c r="AR22" i="32"/>
  <c r="AR25" i="32"/>
  <c r="AR32" i="32"/>
  <c r="AR42" i="32"/>
  <c r="AP13" i="32"/>
  <c r="AN13" i="32"/>
  <c r="AN22" i="32"/>
  <c r="AN25" i="32"/>
  <c r="AN32" i="32"/>
  <c r="AN42" i="32"/>
  <c r="AJ13" i="32"/>
  <c r="AJ19" i="32"/>
  <c r="AJ22" i="32"/>
  <c r="AJ25" i="32"/>
  <c r="AJ32" i="32"/>
  <c r="AJ42" i="32"/>
  <c r="AH13" i="32"/>
  <c r="AF13" i="32"/>
  <c r="AF19" i="32"/>
  <c r="AF22" i="32"/>
  <c r="AF25" i="32"/>
  <c r="AF32" i="32"/>
  <c r="AF42" i="32"/>
  <c r="AD13" i="32"/>
  <c r="AD22" i="32"/>
  <c r="AD25" i="32"/>
  <c r="AD32" i="32"/>
  <c r="AD42" i="32"/>
  <c r="AB13" i="32"/>
  <c r="AB19" i="32"/>
  <c r="AB22" i="32"/>
  <c r="AB25" i="32"/>
  <c r="AB32" i="32"/>
  <c r="AB42" i="32"/>
  <c r="Z13" i="32"/>
  <c r="Z19" i="32"/>
  <c r="Z22" i="32"/>
  <c r="Z25" i="32"/>
  <c r="Z32" i="32"/>
  <c r="Z42" i="32"/>
  <c r="X13" i="32"/>
  <c r="X19" i="32"/>
  <c r="V13" i="32"/>
  <c r="V22" i="32"/>
  <c r="V25" i="32"/>
  <c r="V32" i="32"/>
  <c r="V42" i="32"/>
  <c r="T13" i="32"/>
  <c r="T22" i="32"/>
  <c r="R13" i="32"/>
  <c r="R22" i="32"/>
  <c r="R25" i="32"/>
  <c r="R32" i="32"/>
  <c r="R42" i="32"/>
  <c r="N13" i="32"/>
  <c r="L13" i="32"/>
  <c r="J13" i="32"/>
  <c r="H13" i="32"/>
  <c r="D13" i="32"/>
  <c r="B13" i="32"/>
  <c r="AZ13" i="32"/>
  <c r="AZ11" i="32"/>
  <c r="AZ9" i="32"/>
  <c r="AZ8" i="32"/>
  <c r="AZ7" i="32"/>
  <c r="AZ6" i="32"/>
  <c r="X11" i="2"/>
  <c r="X11" i="1"/>
  <c r="X12" i="1"/>
  <c r="X14" i="1"/>
  <c r="I28" i="7"/>
  <c r="H28" i="7"/>
  <c r="B10" i="6"/>
  <c r="B34" i="6"/>
  <c r="B36" i="6"/>
  <c r="D14" i="22"/>
  <c r="F14" i="22"/>
  <c r="H14" i="22"/>
  <c r="AX14" i="22"/>
  <c r="AT14" i="22"/>
  <c r="AR14" i="22"/>
  <c r="AP14" i="22"/>
  <c r="AN14" i="22"/>
  <c r="AL14" i="22"/>
  <c r="AJ14" i="22"/>
  <c r="AH14" i="22"/>
  <c r="AD14" i="22"/>
  <c r="AB14" i="22"/>
  <c r="Z14" i="22"/>
  <c r="X14" i="22"/>
  <c r="V14" i="22"/>
  <c r="T14" i="22"/>
  <c r="R14" i="22"/>
  <c r="P14" i="22"/>
  <c r="J14" i="22"/>
  <c r="L14" i="22"/>
  <c r="N14" i="22"/>
  <c r="B14" i="22"/>
  <c r="AV13" i="22"/>
  <c r="AZ13" i="22" s="1"/>
  <c r="AV11" i="22"/>
  <c r="AZ11" i="22"/>
  <c r="AV10" i="22"/>
  <c r="AZ10" i="22"/>
  <c r="AV9" i="22"/>
  <c r="AV8" i="22"/>
  <c r="AZ8" i="22"/>
  <c r="AV7" i="22"/>
  <c r="AZ7" i="22" s="1"/>
  <c r="AV6" i="22"/>
  <c r="AZ6" i="22" s="1"/>
  <c r="AV5" i="22"/>
  <c r="AZ5" i="22"/>
  <c r="AV4" i="22"/>
  <c r="AZ9" i="22"/>
  <c r="AZ4" i="22"/>
  <c r="AA15" i="7"/>
  <c r="AA16" i="7"/>
  <c r="AV6" i="30"/>
  <c r="AZ6" i="30"/>
  <c r="AW6" i="30"/>
  <c r="BA6" i="30" s="1"/>
  <c r="AV7" i="30"/>
  <c r="AZ7" i="30"/>
  <c r="AW7" i="30"/>
  <c r="BA7" i="30" s="1"/>
  <c r="AV8" i="30"/>
  <c r="AZ8" i="30"/>
  <c r="AW8" i="30"/>
  <c r="BA8" i="30" s="1"/>
  <c r="AV9" i="30"/>
  <c r="AZ9" i="30"/>
  <c r="AW9" i="30"/>
  <c r="BA9" i="30" s="1"/>
  <c r="AV10" i="30"/>
  <c r="AZ10" i="30"/>
  <c r="AW10" i="30"/>
  <c r="BA10" i="30" s="1"/>
  <c r="AV11" i="30"/>
  <c r="AZ11" i="30"/>
  <c r="AW11" i="30"/>
  <c r="BA11" i="30" s="1"/>
  <c r="AV12" i="30"/>
  <c r="AZ12" i="30"/>
  <c r="AW12" i="30"/>
  <c r="BA12" i="30" s="1"/>
  <c r="AV13" i="30"/>
  <c r="AZ13" i="30"/>
  <c r="AW13" i="30"/>
  <c r="BA13" i="30" s="1"/>
  <c r="AV14" i="30"/>
  <c r="AZ14" i="30"/>
  <c r="AW14" i="30"/>
  <c r="BA14" i="30" s="1"/>
  <c r="AV15" i="30"/>
  <c r="AZ15" i="30"/>
  <c r="AW15" i="30"/>
  <c r="BA15" i="30" s="1"/>
  <c r="AV16" i="30"/>
  <c r="AZ16" i="30"/>
  <c r="AW16" i="30"/>
  <c r="BA16" i="30" s="1"/>
  <c r="AV17" i="30"/>
  <c r="AZ17" i="30"/>
  <c r="AW17" i="30"/>
  <c r="BA17" i="30" s="1"/>
  <c r="AV18" i="30"/>
  <c r="AZ18" i="30"/>
  <c r="AW18" i="30"/>
  <c r="BA18" i="30" s="1"/>
  <c r="AV19" i="30"/>
  <c r="AZ19" i="30"/>
  <c r="AW19" i="30"/>
  <c r="BA19" i="30" s="1"/>
  <c r="AV20" i="30"/>
  <c r="AZ20" i="30"/>
  <c r="AW20" i="30"/>
  <c r="BA20" i="30" s="1"/>
  <c r="AV21" i="30"/>
  <c r="AZ21" i="30"/>
  <c r="AW21" i="30"/>
  <c r="BA21" i="30" s="1"/>
  <c r="AV22" i="30"/>
  <c r="AZ22" i="30"/>
  <c r="AW22" i="30"/>
  <c r="BA22" i="30" s="1"/>
  <c r="AV23" i="30"/>
  <c r="AZ23" i="30"/>
  <c r="AW23" i="30"/>
  <c r="BA23" i="30" s="1"/>
  <c r="AV24" i="30"/>
  <c r="AZ24" i="30"/>
  <c r="AW24" i="30"/>
  <c r="BA24" i="30" s="1"/>
  <c r="AV25" i="30"/>
  <c r="AZ25" i="30"/>
  <c r="AW25" i="30"/>
  <c r="BA25" i="30" s="1"/>
  <c r="AV26" i="30"/>
  <c r="AZ26" i="30"/>
  <c r="AW26" i="30"/>
  <c r="BA26" i="30" s="1"/>
  <c r="AV27" i="30"/>
  <c r="AZ27" i="30"/>
  <c r="AW27" i="30"/>
  <c r="BA27" i="30" s="1"/>
  <c r="AV28" i="30"/>
  <c r="AZ28" i="30"/>
  <c r="AW28" i="30"/>
  <c r="BA28" i="30" s="1"/>
  <c r="AV29" i="30"/>
  <c r="AZ29" i="30"/>
  <c r="AW29" i="30"/>
  <c r="BA29" i="30" s="1"/>
  <c r="AV30" i="30"/>
  <c r="AZ30" i="30"/>
  <c r="AW30" i="30"/>
  <c r="BA30" i="30" s="1"/>
  <c r="AV32" i="30"/>
  <c r="AZ32" i="30"/>
  <c r="AW32" i="30"/>
  <c r="BA32" i="30" s="1"/>
  <c r="AV33" i="30"/>
  <c r="AZ33" i="30"/>
  <c r="AW33" i="30"/>
  <c r="BA33" i="30" s="1"/>
  <c r="AV34" i="30"/>
  <c r="AZ34" i="30"/>
  <c r="AW34" i="30"/>
  <c r="BA34" i="30" s="1"/>
  <c r="AV35" i="30"/>
  <c r="AZ35" i="30"/>
  <c r="AW35" i="30"/>
  <c r="BA35" i="30" s="1"/>
  <c r="AV37" i="30"/>
  <c r="AZ37" i="30"/>
  <c r="AW37" i="30"/>
  <c r="BA37" i="30" s="1"/>
  <c r="AW5" i="30"/>
  <c r="BA5" i="30" s="1"/>
  <c r="AV5" i="30"/>
  <c r="AZ5" i="30"/>
  <c r="AT38" i="30"/>
  <c r="AG38" i="30"/>
  <c r="X38" i="30"/>
  <c r="AW66" i="31"/>
  <c r="BA66" i="31" s="1"/>
  <c r="AQ50" i="31"/>
  <c r="AO50" i="31"/>
  <c r="AW67" i="31"/>
  <c r="BA67" i="31" s="1"/>
  <c r="AV67" i="31"/>
  <c r="AZ67" i="31" s="1"/>
  <c r="AV66" i="31"/>
  <c r="AZ66" i="31" s="1"/>
  <c r="AW65" i="31"/>
  <c r="BA65" i="31" s="1"/>
  <c r="AV65" i="31"/>
  <c r="AZ65" i="31" s="1"/>
  <c r="AW64" i="31"/>
  <c r="BA64" i="31" s="1"/>
  <c r="AV64" i="31"/>
  <c r="AZ64" i="31" s="1"/>
  <c r="AW63" i="31"/>
  <c r="BA63" i="31" s="1"/>
  <c r="AV63" i="31"/>
  <c r="AZ63" i="31" s="1"/>
  <c r="AW62" i="31"/>
  <c r="BA62" i="31" s="1"/>
  <c r="AV62" i="31"/>
  <c r="AZ62" i="31" s="1"/>
  <c r="AW61" i="31"/>
  <c r="BA61" i="31" s="1"/>
  <c r="AV61" i="31"/>
  <c r="AZ61" i="31" s="1"/>
  <c r="AV60" i="31"/>
  <c r="AZ60" i="31" s="1"/>
  <c r="AW59" i="31"/>
  <c r="BA59" i="31" s="1"/>
  <c r="AV59" i="31"/>
  <c r="AZ59" i="31" s="1"/>
  <c r="AW58" i="31"/>
  <c r="BA58" i="31" s="1"/>
  <c r="AV58" i="31"/>
  <c r="AZ58" i="31" s="1"/>
  <c r="AW57" i="31"/>
  <c r="BA57" i="31" s="1"/>
  <c r="AV57" i="31"/>
  <c r="AZ57" i="31" s="1"/>
  <c r="AW56" i="31"/>
  <c r="BA56" i="31" s="1"/>
  <c r="AV56" i="31"/>
  <c r="AZ56" i="31" s="1"/>
  <c r="AW55" i="31"/>
  <c r="BA55" i="31" s="1"/>
  <c r="AV55" i="31"/>
  <c r="AZ55" i="31"/>
  <c r="AW54" i="31"/>
  <c r="BA54" i="31" s="1"/>
  <c r="AV54" i="31"/>
  <c r="AZ54" i="31" s="1"/>
  <c r="AW53" i="31"/>
  <c r="BA53" i="31"/>
  <c r="AV53" i="31"/>
  <c r="AZ53" i="31"/>
  <c r="AV52" i="31"/>
  <c r="AZ52" i="31"/>
  <c r="AM51" i="31"/>
  <c r="AY50" i="31"/>
  <c r="AY51" i="31" s="1"/>
  <c r="AX50" i="31"/>
  <c r="AX51" i="31" s="1"/>
  <c r="AU50" i="31"/>
  <c r="AT50" i="31"/>
  <c r="AS50" i="31"/>
  <c r="AR50" i="31"/>
  <c r="AP50" i="31"/>
  <c r="AN50" i="31"/>
  <c r="AM50" i="31"/>
  <c r="AL50" i="31"/>
  <c r="AK50" i="31"/>
  <c r="AJ50" i="31"/>
  <c r="AI50" i="31"/>
  <c r="AH50" i="31"/>
  <c r="AG50" i="31"/>
  <c r="AF50" i="31"/>
  <c r="AF51" i="31" s="1"/>
  <c r="AE50" i="31"/>
  <c r="AD50" i="31"/>
  <c r="AC50" i="31"/>
  <c r="AB50" i="31"/>
  <c r="AA50" i="31"/>
  <c r="Z50" i="31"/>
  <c r="Y50" i="31"/>
  <c r="X50" i="31"/>
  <c r="X51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H50" i="31"/>
  <c r="G50" i="31"/>
  <c r="F50" i="31"/>
  <c r="E50" i="31"/>
  <c r="C50" i="31"/>
  <c r="B50" i="31"/>
  <c r="BA49" i="31"/>
  <c r="AZ49" i="31"/>
  <c r="BA48" i="31"/>
  <c r="AZ48" i="31"/>
  <c r="AU47" i="31"/>
  <c r="AT47" i="31"/>
  <c r="AS47" i="31"/>
  <c r="AR47" i="31"/>
  <c r="AQ47" i="31"/>
  <c r="AP47" i="31"/>
  <c r="AO47" i="31"/>
  <c r="AN47" i="31"/>
  <c r="AM47" i="31"/>
  <c r="AL47" i="31"/>
  <c r="AL51" i="31"/>
  <c r="AK47" i="31"/>
  <c r="AJ47" i="31"/>
  <c r="AI47" i="31"/>
  <c r="AH47" i="31"/>
  <c r="AG47" i="31"/>
  <c r="AE47" i="31"/>
  <c r="AD47" i="31"/>
  <c r="AC47" i="31"/>
  <c r="AB47" i="31"/>
  <c r="AA47" i="31"/>
  <c r="Z47" i="31"/>
  <c r="Y47" i="31"/>
  <c r="W47" i="31"/>
  <c r="V47" i="31"/>
  <c r="U47" i="31"/>
  <c r="T47" i="31"/>
  <c r="S47" i="31"/>
  <c r="S51" i="31"/>
  <c r="R47" i="31"/>
  <c r="Q47" i="31"/>
  <c r="P47" i="31"/>
  <c r="O47" i="31"/>
  <c r="N47" i="31"/>
  <c r="M47" i="31"/>
  <c r="L47" i="31"/>
  <c r="K47" i="31"/>
  <c r="J47" i="31"/>
  <c r="J51" i="31"/>
  <c r="H47" i="31"/>
  <c r="G47" i="31"/>
  <c r="F47" i="31"/>
  <c r="F51" i="31"/>
  <c r="E47" i="31"/>
  <c r="D47" i="31"/>
  <c r="D51" i="31"/>
  <c r="C47" i="31"/>
  <c r="B47" i="31"/>
  <c r="BA46" i="31"/>
  <c r="AZ46" i="31"/>
  <c r="BA45" i="31"/>
  <c r="AZ45" i="31"/>
  <c r="BA44" i="31"/>
  <c r="AZ44" i="31"/>
  <c r="AW43" i="31"/>
  <c r="BA43" i="31" s="1"/>
  <c r="AV43" i="31"/>
  <c r="AZ43" i="31"/>
  <c r="AW42" i="31"/>
  <c r="BA42" i="31" s="1"/>
  <c r="AV42" i="31"/>
  <c r="AZ42" i="31" s="1"/>
  <c r="AW41" i="31"/>
  <c r="BA41" i="31" s="1"/>
  <c r="AV41" i="31"/>
  <c r="AZ41" i="31" s="1"/>
  <c r="AW40" i="31"/>
  <c r="BA40" i="31" s="1"/>
  <c r="AV40" i="31"/>
  <c r="AZ40" i="31" s="1"/>
  <c r="AW39" i="31"/>
  <c r="BA39" i="31" s="1"/>
  <c r="AV39" i="31"/>
  <c r="AZ39" i="31" s="1"/>
  <c r="AW38" i="31"/>
  <c r="BA38" i="31" s="1"/>
  <c r="AV38" i="31"/>
  <c r="AZ38" i="31" s="1"/>
  <c r="AW37" i="31"/>
  <c r="BA37" i="31"/>
  <c r="AV37" i="31"/>
  <c r="AZ37" i="31"/>
  <c r="AV36" i="31"/>
  <c r="AZ36" i="31"/>
  <c r="AW35" i="31"/>
  <c r="BA35" i="31" s="1"/>
  <c r="AV35" i="31"/>
  <c r="AZ35" i="31" s="1"/>
  <c r="AW34" i="31"/>
  <c r="BA34" i="31" s="1"/>
  <c r="AV34" i="31"/>
  <c r="AZ34" i="31" s="1"/>
  <c r="AW33" i="31"/>
  <c r="BA33" i="31" s="1"/>
  <c r="AV33" i="31"/>
  <c r="AZ33" i="31"/>
  <c r="AW32" i="31"/>
  <c r="BA32" i="31" s="1"/>
  <c r="AV32" i="31"/>
  <c r="AZ32" i="31"/>
  <c r="AW31" i="31"/>
  <c r="BA31" i="31" s="1"/>
  <c r="AV31" i="31"/>
  <c r="AZ31" i="31" s="1"/>
  <c r="AW30" i="31"/>
  <c r="BA30" i="31" s="1"/>
  <c r="AV30" i="31"/>
  <c r="AZ30" i="31"/>
  <c r="AW29" i="31"/>
  <c r="BA29" i="31" s="1"/>
  <c r="AV29" i="31"/>
  <c r="AZ29" i="31"/>
  <c r="AV28" i="31"/>
  <c r="AZ28" i="31" s="1"/>
  <c r="AW27" i="31"/>
  <c r="BA27" i="31" s="1"/>
  <c r="AV27" i="31"/>
  <c r="AZ27" i="31" s="1"/>
  <c r="AV26" i="31"/>
  <c r="AZ26" i="31" s="1"/>
  <c r="AW26" i="31"/>
  <c r="BA26" i="31" s="1"/>
  <c r="AW25" i="31"/>
  <c r="BA25" i="31" s="1"/>
  <c r="AV25" i="31"/>
  <c r="AZ25" i="31"/>
  <c r="AW24" i="31"/>
  <c r="BA24" i="31" s="1"/>
  <c r="AV24" i="31"/>
  <c r="AZ24" i="31" s="1"/>
  <c r="AW23" i="31"/>
  <c r="BA23" i="31" s="1"/>
  <c r="AW22" i="31"/>
  <c r="BA22" i="31" s="1"/>
  <c r="AV22" i="31"/>
  <c r="AZ22" i="31"/>
  <c r="AW21" i="31"/>
  <c r="BA21" i="31" s="1"/>
  <c r="AV21" i="31"/>
  <c r="AZ21" i="31"/>
  <c r="AV20" i="31"/>
  <c r="AZ20" i="31"/>
  <c r="AW19" i="31"/>
  <c r="BA19" i="31" s="1"/>
  <c r="AV19" i="31"/>
  <c r="AZ19" i="31"/>
  <c r="AV18" i="31"/>
  <c r="AZ18" i="31"/>
  <c r="AV17" i="31"/>
  <c r="AZ17" i="31" s="1"/>
  <c r="AW17" i="31"/>
  <c r="BA17" i="31" s="1"/>
  <c r="AW16" i="31"/>
  <c r="BA16" i="31" s="1"/>
  <c r="AV16" i="31"/>
  <c r="AZ16" i="31"/>
  <c r="AW15" i="31"/>
  <c r="BA15" i="31" s="1"/>
  <c r="AV15" i="31"/>
  <c r="AZ15" i="31"/>
  <c r="AW14" i="31"/>
  <c r="BA14" i="31" s="1"/>
  <c r="AV14" i="31"/>
  <c r="AZ14" i="31"/>
  <c r="AW13" i="31"/>
  <c r="BA13" i="31" s="1"/>
  <c r="AV13" i="31"/>
  <c r="AZ13" i="31" s="1"/>
  <c r="AV12" i="31"/>
  <c r="AZ12" i="31"/>
  <c r="AV11" i="31"/>
  <c r="AZ11" i="31" s="1"/>
  <c r="AW11" i="31"/>
  <c r="BA11" i="31" s="1"/>
  <c r="AY10" i="31"/>
  <c r="AX10" i="31"/>
  <c r="AU10" i="31"/>
  <c r="AT10" i="31"/>
  <c r="AS10" i="31"/>
  <c r="AR10" i="31"/>
  <c r="AQ10" i="31"/>
  <c r="AP10" i="31"/>
  <c r="AO10" i="31"/>
  <c r="AN10" i="31"/>
  <c r="AM10" i="31"/>
  <c r="AL10" i="31"/>
  <c r="AK10" i="31"/>
  <c r="AJ10" i="31"/>
  <c r="AH10" i="31"/>
  <c r="AG10" i="31"/>
  <c r="AF10" i="31"/>
  <c r="AE10" i="31"/>
  <c r="AD10" i="31"/>
  <c r="AC10" i="31"/>
  <c r="AB10" i="31"/>
  <c r="Z10" i="31"/>
  <c r="Y10" i="31"/>
  <c r="X10" i="31"/>
  <c r="W10" i="31"/>
  <c r="V10" i="31"/>
  <c r="U10" i="31"/>
  <c r="T10" i="31"/>
  <c r="R10" i="31"/>
  <c r="P10" i="31"/>
  <c r="O10" i="31"/>
  <c r="M10" i="31"/>
  <c r="L10" i="31"/>
  <c r="K10" i="31"/>
  <c r="J10" i="31"/>
  <c r="H10" i="31"/>
  <c r="G10" i="31"/>
  <c r="F10" i="31"/>
  <c r="E10" i="31"/>
  <c r="D10" i="31"/>
  <c r="C10" i="31"/>
  <c r="B10" i="31"/>
  <c r="AW8" i="31"/>
  <c r="BA8" i="31" s="1"/>
  <c r="AV8" i="31"/>
  <c r="AZ8" i="31" s="1"/>
  <c r="AW7" i="31"/>
  <c r="BA7" i="31" s="1"/>
  <c r="AV7" i="31"/>
  <c r="AZ7" i="31" s="1"/>
  <c r="AW6" i="31"/>
  <c r="BA6" i="31" s="1"/>
  <c r="AV6" i="31"/>
  <c r="AZ6" i="31"/>
  <c r="AV5" i="31"/>
  <c r="AZ5" i="31" s="1"/>
  <c r="AI10" i="31"/>
  <c r="AA10" i="31"/>
  <c r="S10" i="31"/>
  <c r="AR27" i="11"/>
  <c r="AH27" i="11"/>
  <c r="AV12" i="11"/>
  <c r="AZ12" i="11" s="1"/>
  <c r="X27" i="11"/>
  <c r="N27" i="11"/>
  <c r="L27" i="11"/>
  <c r="J41" i="11"/>
  <c r="B27" i="11"/>
  <c r="AN41" i="11"/>
  <c r="AM41" i="11"/>
  <c r="AL41" i="11"/>
  <c r="AJ41" i="11"/>
  <c r="T41" i="11"/>
  <c r="R41" i="11"/>
  <c r="N41" i="11"/>
  <c r="L41" i="11"/>
  <c r="G41" i="11"/>
  <c r="F41" i="11"/>
  <c r="D41" i="11"/>
  <c r="AW39" i="11"/>
  <c r="BA39" i="11" s="1"/>
  <c r="AV39" i="11"/>
  <c r="AZ39" i="11" s="1"/>
  <c r="AW38" i="11"/>
  <c r="BA38" i="11"/>
  <c r="AV38" i="11"/>
  <c r="AZ38" i="11"/>
  <c r="AW37" i="11"/>
  <c r="BA37" i="11" s="1"/>
  <c r="AV37" i="11"/>
  <c r="AZ37" i="11" s="1"/>
  <c r="AV36" i="11"/>
  <c r="AZ36" i="11"/>
  <c r="AW35" i="11"/>
  <c r="BA35" i="11" s="1"/>
  <c r="AV35" i="11"/>
  <c r="AZ35" i="11" s="1"/>
  <c r="AW34" i="11"/>
  <c r="BA34" i="11" s="1"/>
  <c r="AV34" i="11"/>
  <c r="AZ34" i="11"/>
  <c r="AW33" i="11"/>
  <c r="BA33" i="11" s="1"/>
  <c r="AV33" i="11"/>
  <c r="AZ33" i="11" s="1"/>
  <c r="AW32" i="11"/>
  <c r="BA32" i="11" s="1"/>
  <c r="AV32" i="11"/>
  <c r="AZ32" i="11" s="1"/>
  <c r="AW31" i="11"/>
  <c r="BA31" i="11" s="1"/>
  <c r="AV31" i="11"/>
  <c r="AZ31" i="11" s="1"/>
  <c r="AW29" i="11"/>
  <c r="BA29" i="11" s="1"/>
  <c r="AV29" i="11"/>
  <c r="AZ29" i="11" s="1"/>
  <c r="AW28" i="11"/>
  <c r="BA28" i="11" s="1"/>
  <c r="AV28" i="11"/>
  <c r="AZ28" i="11" s="1"/>
  <c r="AT27" i="11"/>
  <c r="AP27" i="11"/>
  <c r="AN27" i="11"/>
  <c r="AM27" i="11"/>
  <c r="AL27" i="11"/>
  <c r="AD27" i="11"/>
  <c r="AB27" i="11"/>
  <c r="Z27" i="11"/>
  <c r="T27" i="11"/>
  <c r="R27" i="11"/>
  <c r="P27" i="11"/>
  <c r="G27" i="11"/>
  <c r="F27" i="11"/>
  <c r="D27" i="11"/>
  <c r="AW25" i="11"/>
  <c r="BA25" i="11" s="1"/>
  <c r="AV25" i="11"/>
  <c r="AZ25" i="11" s="1"/>
  <c r="AW24" i="11"/>
  <c r="BA24" i="11" s="1"/>
  <c r="AV24" i="11"/>
  <c r="AZ24" i="11" s="1"/>
  <c r="AV23" i="11"/>
  <c r="AZ23" i="11"/>
  <c r="AV22" i="11"/>
  <c r="AZ22" i="11" s="1"/>
  <c r="AW21" i="11"/>
  <c r="BA21" i="11" s="1"/>
  <c r="AV21" i="11"/>
  <c r="AZ21" i="11" s="1"/>
  <c r="AW20" i="11"/>
  <c r="BA20" i="11" s="1"/>
  <c r="AV20" i="11"/>
  <c r="AZ20" i="11" s="1"/>
  <c r="AW19" i="11"/>
  <c r="BA19" i="11" s="1"/>
  <c r="AV19" i="11"/>
  <c r="AZ19" i="11" s="1"/>
  <c r="AF27" i="11"/>
  <c r="AW18" i="11"/>
  <c r="BA18" i="11" s="1"/>
  <c r="AV18" i="11"/>
  <c r="AZ18" i="11" s="1"/>
  <c r="AW17" i="11"/>
  <c r="BA17" i="11" s="1"/>
  <c r="AV17" i="11"/>
  <c r="AZ17" i="11"/>
  <c r="AW16" i="11"/>
  <c r="BA16" i="11" s="1"/>
  <c r="AV16" i="11"/>
  <c r="AZ16" i="11" s="1"/>
  <c r="AW15" i="11"/>
  <c r="BA15" i="11" s="1"/>
  <c r="AV15" i="11"/>
  <c r="AZ15" i="11"/>
  <c r="AW14" i="11"/>
  <c r="BA14" i="11" s="1"/>
  <c r="AX13" i="11"/>
  <c r="AT13" i="11"/>
  <c r="AR13" i="11"/>
  <c r="AP13" i="11"/>
  <c r="AN13" i="11"/>
  <c r="AM13" i="11"/>
  <c r="AL13" i="11"/>
  <c r="AJ13" i="11"/>
  <c r="AH13" i="11"/>
  <c r="AF13" i="11"/>
  <c r="AD13" i="11"/>
  <c r="AB13" i="11"/>
  <c r="X13" i="11"/>
  <c r="V13" i="11"/>
  <c r="T13" i="11"/>
  <c r="R13" i="11"/>
  <c r="P13" i="11"/>
  <c r="N13" i="11"/>
  <c r="L13" i="11"/>
  <c r="J13" i="11"/>
  <c r="H13" i="11"/>
  <c r="G13" i="11"/>
  <c r="F13" i="11"/>
  <c r="D13" i="11"/>
  <c r="B13" i="11"/>
  <c r="AW12" i="11"/>
  <c r="BA12" i="11" s="1"/>
  <c r="AW10" i="11"/>
  <c r="BA10" i="11" s="1"/>
  <c r="AV10" i="11"/>
  <c r="AZ10" i="11" s="1"/>
  <c r="AW9" i="11"/>
  <c r="BA9" i="11" s="1"/>
  <c r="AV9" i="11"/>
  <c r="AZ9" i="11" s="1"/>
  <c r="AW8" i="11"/>
  <c r="BA8" i="11" s="1"/>
  <c r="AV8" i="11"/>
  <c r="AZ8" i="11" s="1"/>
  <c r="AW7" i="11"/>
  <c r="BA7" i="11" s="1"/>
  <c r="AV7" i="11"/>
  <c r="AZ7" i="11" s="1"/>
  <c r="AW6" i="11"/>
  <c r="BA6" i="11" s="1"/>
  <c r="AV6" i="11"/>
  <c r="AZ6" i="11"/>
  <c r="AW5" i="11"/>
  <c r="BA5" i="11" s="1"/>
  <c r="AV5" i="11"/>
  <c r="AZ5" i="11" s="1"/>
  <c r="AN8" i="19"/>
  <c r="AM8" i="19"/>
  <c r="AW5" i="22"/>
  <c r="BA5" i="22" s="1"/>
  <c r="AW6" i="22"/>
  <c r="AW13" i="7"/>
  <c r="BA13" i="7" s="1"/>
  <c r="AV13" i="7"/>
  <c r="AZ13" i="7"/>
  <c r="AU38" i="30"/>
  <c r="AS38" i="30"/>
  <c r="AR38" i="30"/>
  <c r="AQ38" i="30"/>
  <c r="AP38" i="30"/>
  <c r="AO38" i="30"/>
  <c r="AN38" i="30"/>
  <c r="AM38" i="30"/>
  <c r="AL38" i="30"/>
  <c r="AK38" i="30"/>
  <c r="AJ38" i="30"/>
  <c r="AI38" i="30"/>
  <c r="AH38" i="30"/>
  <c r="AF38" i="30"/>
  <c r="AE38" i="30"/>
  <c r="AD38" i="30"/>
  <c r="AC38" i="30"/>
  <c r="AB38" i="30"/>
  <c r="AA38" i="30"/>
  <c r="Z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AY38" i="30"/>
  <c r="AX38" i="30"/>
  <c r="AQ14" i="22"/>
  <c r="AY34" i="6"/>
  <c r="AY36" i="6" s="1"/>
  <c r="AY38" i="6" s="1"/>
  <c r="AX34" i="6"/>
  <c r="AX36" i="6"/>
  <c r="AX38" i="6"/>
  <c r="AR34" i="6"/>
  <c r="AR36" i="6"/>
  <c r="AR38" i="6"/>
  <c r="AI9" i="7"/>
  <c r="AE9" i="7"/>
  <c r="AE12" i="7" s="1"/>
  <c r="AE14" i="7" s="1"/>
  <c r="O9" i="7"/>
  <c r="O12" i="7" s="1"/>
  <c r="O14" i="7" s="1"/>
  <c r="Q10" i="5"/>
  <c r="Q12" i="5" s="1"/>
  <c r="P10" i="5"/>
  <c r="P12" i="5"/>
  <c r="O10" i="5"/>
  <c r="O12" i="5" s="1"/>
  <c r="N10" i="5"/>
  <c r="N12" i="5"/>
  <c r="M10" i="5"/>
  <c r="M12" i="5" s="1"/>
  <c r="L10" i="5"/>
  <c r="L12" i="5"/>
  <c r="K10" i="5"/>
  <c r="K12" i="5" s="1"/>
  <c r="J10" i="5"/>
  <c r="J12" i="5"/>
  <c r="S9" i="7"/>
  <c r="S12" i="7" s="1"/>
  <c r="S14" i="7" s="1"/>
  <c r="AS9" i="7"/>
  <c r="AS12" i="7" s="1"/>
  <c r="AS14" i="7" s="1"/>
  <c r="AA9" i="7"/>
  <c r="AA12" i="7" s="1"/>
  <c r="AA14" i="7" s="1"/>
  <c r="AC9" i="7"/>
  <c r="AC12" i="7" s="1"/>
  <c r="AC14" i="7" s="1"/>
  <c r="AW7" i="6"/>
  <c r="BA7" i="6" s="1"/>
  <c r="AW8" i="6"/>
  <c r="BA8" i="6" s="1"/>
  <c r="AW9" i="6"/>
  <c r="AW10" i="6"/>
  <c r="BA10" i="6" s="1"/>
  <c r="AW11" i="6"/>
  <c r="BA11" i="6" s="1"/>
  <c r="AW12" i="6"/>
  <c r="BA12" i="6" s="1"/>
  <c r="AW13" i="6"/>
  <c r="BA13" i="6" s="1"/>
  <c r="AW14" i="6"/>
  <c r="BA14" i="6" s="1"/>
  <c r="AW15" i="6"/>
  <c r="BA15" i="6" s="1"/>
  <c r="AW16" i="6"/>
  <c r="BA16" i="6" s="1"/>
  <c r="AW17" i="6"/>
  <c r="BA17" i="6" s="1"/>
  <c r="AW18" i="6"/>
  <c r="BA18" i="6" s="1"/>
  <c r="AW19" i="6"/>
  <c r="BA19" i="6" s="1"/>
  <c r="AW20" i="6"/>
  <c r="BA20" i="6" s="1"/>
  <c r="AW21" i="6"/>
  <c r="BA21" i="6" s="1"/>
  <c r="AW23" i="6"/>
  <c r="AW24" i="6"/>
  <c r="BA24" i="6" s="1"/>
  <c r="AW25" i="6"/>
  <c r="AW26" i="6"/>
  <c r="AW27" i="6"/>
  <c r="BA27" i="6" s="1"/>
  <c r="AW28" i="6"/>
  <c r="BA28" i="6" s="1"/>
  <c r="AW29" i="6"/>
  <c r="AW30" i="6"/>
  <c r="BA30" i="6" s="1"/>
  <c r="AW31" i="6"/>
  <c r="AW6" i="6"/>
  <c r="BA6" i="6" s="1"/>
  <c r="C10" i="5"/>
  <c r="C14" i="5" s="1"/>
  <c r="D10" i="5"/>
  <c r="D12" i="5"/>
  <c r="E10" i="5"/>
  <c r="F10" i="5"/>
  <c r="G10" i="5"/>
  <c r="G14" i="5" s="1"/>
  <c r="B10" i="5"/>
  <c r="B12" i="5"/>
  <c r="AS10" i="5"/>
  <c r="AS12" i="5" s="1"/>
  <c r="AT10" i="5"/>
  <c r="AT12" i="5"/>
  <c r="AU10" i="5"/>
  <c r="AU14" i="5" s="1"/>
  <c r="AN10" i="5"/>
  <c r="AN14" i="5"/>
  <c r="AO10" i="5"/>
  <c r="AO14" i="5" s="1"/>
  <c r="AP10" i="5"/>
  <c r="AP12" i="5"/>
  <c r="AQ10" i="5"/>
  <c r="AQ14" i="5" s="1"/>
  <c r="AR10" i="5"/>
  <c r="AR12" i="5"/>
  <c r="AI10" i="5"/>
  <c r="AI12" i="5" s="1"/>
  <c r="AJ10" i="5"/>
  <c r="AJ12" i="5"/>
  <c r="AK10" i="5"/>
  <c r="AK14" i="5" s="1"/>
  <c r="AL10" i="5"/>
  <c r="AL14" i="5"/>
  <c r="AM10" i="5"/>
  <c r="AM12" i="5"/>
  <c r="AD10" i="5"/>
  <c r="AD12" i="5"/>
  <c r="AE10" i="5"/>
  <c r="AE14" i="5" s="1"/>
  <c r="AF10" i="5"/>
  <c r="AF14" i="5"/>
  <c r="AG10" i="5"/>
  <c r="AG14" i="5" s="1"/>
  <c r="AH10" i="5"/>
  <c r="AH14" i="5"/>
  <c r="Y10" i="5"/>
  <c r="Y14" i="5" s="1"/>
  <c r="Z10" i="5"/>
  <c r="Z12" i="5"/>
  <c r="AA10" i="5"/>
  <c r="AA14" i="5" s="1"/>
  <c r="AB10" i="5"/>
  <c r="AB12" i="5"/>
  <c r="AC10" i="5"/>
  <c r="AC14" i="5" s="1"/>
  <c r="S10" i="5"/>
  <c r="S12" i="5" s="1"/>
  <c r="T10" i="5"/>
  <c r="T14" i="5"/>
  <c r="U10" i="5"/>
  <c r="U12" i="5" s="1"/>
  <c r="V10" i="5"/>
  <c r="V12" i="5"/>
  <c r="W10" i="5"/>
  <c r="W14" i="5" s="1"/>
  <c r="X10" i="5"/>
  <c r="X12" i="5"/>
  <c r="R10" i="5"/>
  <c r="R12" i="5"/>
  <c r="I10" i="5"/>
  <c r="I12" i="5" s="1"/>
  <c r="H10" i="5"/>
  <c r="H14" i="5"/>
  <c r="Y5" i="23"/>
  <c r="Y6" i="23"/>
  <c r="Y7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Z8" i="23"/>
  <c r="B8" i="23"/>
  <c r="AV7" i="4"/>
  <c r="AZ7" i="4" s="1"/>
  <c r="AV13" i="1"/>
  <c r="AZ13" i="1"/>
  <c r="AW13" i="1"/>
  <c r="BA13" i="1"/>
  <c r="AV6" i="1"/>
  <c r="AZ6" i="1" s="1"/>
  <c r="AW6" i="1"/>
  <c r="BA6" i="1" s="1"/>
  <c r="AV7" i="1"/>
  <c r="AZ7" i="1" s="1"/>
  <c r="AW7" i="1"/>
  <c r="BA7" i="1" s="1"/>
  <c r="AV8" i="1"/>
  <c r="AZ8" i="1"/>
  <c r="AW8" i="1"/>
  <c r="BA8" i="1" s="1"/>
  <c r="AV9" i="1"/>
  <c r="AZ9" i="1" s="1"/>
  <c r="AW9" i="1"/>
  <c r="BA9" i="1" s="1"/>
  <c r="AV10" i="1"/>
  <c r="AZ10" i="1" s="1"/>
  <c r="AW10" i="1"/>
  <c r="BA10" i="1" s="1"/>
  <c r="AV11" i="1"/>
  <c r="AZ11" i="1"/>
  <c r="AW5" i="1"/>
  <c r="BA5" i="1" s="1"/>
  <c r="AV5" i="1"/>
  <c r="AZ5" i="1" s="1"/>
  <c r="AY9" i="7"/>
  <c r="AY14" i="7" s="1"/>
  <c r="AO14" i="22"/>
  <c r="AI12" i="7"/>
  <c r="AI14" i="7" s="1"/>
  <c r="I34" i="6"/>
  <c r="I36" i="6" s="1"/>
  <c r="I38" i="6" s="1"/>
  <c r="C9" i="7"/>
  <c r="C12" i="7" s="1"/>
  <c r="C14" i="7" s="1"/>
  <c r="AU9" i="7"/>
  <c r="AU12" i="7" s="1"/>
  <c r="AU14" i="7" s="1"/>
  <c r="AQ9" i="7"/>
  <c r="AQ12" i="7" s="1"/>
  <c r="AQ14" i="7" s="1"/>
  <c r="AO9" i="7"/>
  <c r="AO12" i="7" s="1"/>
  <c r="AO14" i="7" s="1"/>
  <c r="AK9" i="7"/>
  <c r="AK12" i="7" s="1"/>
  <c r="AK14" i="7" s="1"/>
  <c r="AG9" i="7"/>
  <c r="AG12" i="7" s="1"/>
  <c r="AG14" i="7" s="1"/>
  <c r="Y9" i="7"/>
  <c r="Y12" i="7" s="1"/>
  <c r="Y14" i="7" s="1"/>
  <c r="W9" i="7"/>
  <c r="W12" i="7" s="1"/>
  <c r="W14" i="7" s="1"/>
  <c r="U9" i="7"/>
  <c r="U12" i="7" s="1"/>
  <c r="U14" i="7" s="1"/>
  <c r="Q9" i="7"/>
  <c r="Q12" i="7" s="1"/>
  <c r="Q14" i="7" s="1"/>
  <c r="G9" i="7"/>
  <c r="G12" i="7" s="1"/>
  <c r="G14" i="7" s="1"/>
  <c r="E9" i="7"/>
  <c r="AT34" i="6"/>
  <c r="AT36" i="6"/>
  <c r="C34" i="6"/>
  <c r="C36" i="6" s="1"/>
  <c r="D34" i="6"/>
  <c r="D36" i="6"/>
  <c r="E34" i="6"/>
  <c r="E36" i="6" s="1"/>
  <c r="E38" i="6" s="1"/>
  <c r="F34" i="6"/>
  <c r="F36" i="6" s="1"/>
  <c r="G34" i="6"/>
  <c r="G36" i="6" s="1"/>
  <c r="G38" i="6" s="1"/>
  <c r="H34" i="6"/>
  <c r="H36" i="6"/>
  <c r="H38" i="6"/>
  <c r="J34" i="6"/>
  <c r="J36" i="6"/>
  <c r="K34" i="6"/>
  <c r="K36" i="6" s="1"/>
  <c r="K38" i="6" s="1"/>
  <c r="L34" i="6"/>
  <c r="L36" i="6"/>
  <c r="L38" i="6"/>
  <c r="M34" i="6"/>
  <c r="M36" i="6" s="1"/>
  <c r="M38" i="6" s="1"/>
  <c r="N34" i="6"/>
  <c r="N36" i="6"/>
  <c r="N38" i="6"/>
  <c r="O34" i="6"/>
  <c r="O36" i="6" s="1"/>
  <c r="O38" i="6" s="1"/>
  <c r="P34" i="6"/>
  <c r="P36" i="6"/>
  <c r="P38" i="6"/>
  <c r="Q34" i="6"/>
  <c r="Q36" i="6" s="1"/>
  <c r="Q38" i="6" s="1"/>
  <c r="R34" i="6"/>
  <c r="R36" i="6"/>
  <c r="R38" i="6"/>
  <c r="S34" i="6"/>
  <c r="S36" i="6" s="1"/>
  <c r="S38" i="6" s="1"/>
  <c r="V34" i="6"/>
  <c r="V36" i="6"/>
  <c r="V38" i="6"/>
  <c r="W34" i="6"/>
  <c r="W36" i="6" s="1"/>
  <c r="W38" i="6" s="1"/>
  <c r="X34" i="6"/>
  <c r="X38" i="6"/>
  <c r="Y34" i="6"/>
  <c r="Y38" i="6"/>
  <c r="Z34" i="6"/>
  <c r="Z36" i="6"/>
  <c r="Z38" i="6"/>
  <c r="AA34" i="6"/>
  <c r="AA36" i="6" s="1"/>
  <c r="AA38" i="6" s="1"/>
  <c r="AB34" i="6"/>
  <c r="AB36" i="6"/>
  <c r="AB38" i="6"/>
  <c r="AC34" i="6"/>
  <c r="AC36" i="6" s="1"/>
  <c r="AC38" i="6" s="1"/>
  <c r="AD34" i="6"/>
  <c r="AD36" i="6"/>
  <c r="AD38" i="6"/>
  <c r="AE34" i="6"/>
  <c r="AE36" i="6" s="1"/>
  <c r="AE38" i="6" s="1"/>
  <c r="AF34" i="6"/>
  <c r="AF36" i="6"/>
  <c r="AF38" i="6"/>
  <c r="AG34" i="6"/>
  <c r="AG36" i="6" s="1"/>
  <c r="AG38" i="6" s="1"/>
  <c r="AH34" i="6"/>
  <c r="AH36" i="6"/>
  <c r="AH38" i="6"/>
  <c r="AI34" i="6"/>
  <c r="AI36" i="6" s="1"/>
  <c r="AI38" i="6" s="1"/>
  <c r="AJ34" i="6"/>
  <c r="AJ36" i="6"/>
  <c r="AJ38" i="6"/>
  <c r="AK34" i="6"/>
  <c r="AK36" i="6" s="1"/>
  <c r="AK38" i="6" s="1"/>
  <c r="AL34" i="6"/>
  <c r="AL36" i="6"/>
  <c r="AL38" i="6"/>
  <c r="AM34" i="6"/>
  <c r="AM36" i="6"/>
  <c r="AM38" i="6"/>
  <c r="AN34" i="6"/>
  <c r="AN36" i="6"/>
  <c r="AN38" i="6"/>
  <c r="AO34" i="6"/>
  <c r="AO36" i="6" s="1"/>
  <c r="AO38" i="6" s="1"/>
  <c r="AP34" i="6"/>
  <c r="AP36" i="6"/>
  <c r="AP38" i="6"/>
  <c r="AQ34" i="6"/>
  <c r="AQ36" i="6" s="1"/>
  <c r="AQ38" i="6" s="1"/>
  <c r="M9" i="7"/>
  <c r="M12" i="7" s="1"/>
  <c r="M14" i="7" s="1"/>
  <c r="K9" i="7"/>
  <c r="K12" i="7" s="1"/>
  <c r="K14" i="7" s="1"/>
  <c r="I9" i="7"/>
  <c r="I14" i="7" s="1"/>
  <c r="AW8" i="4"/>
  <c r="BA8" i="4" s="1"/>
  <c r="AW15" i="4"/>
  <c r="BA15" i="4" s="1"/>
  <c r="AM10" i="7"/>
  <c r="AM11" i="7"/>
  <c r="AM15" i="7"/>
  <c r="AM16" i="7"/>
  <c r="AM17" i="7"/>
  <c r="AW17" i="7"/>
  <c r="BA17" i="7" s="1"/>
  <c r="AM18" i="7"/>
  <c r="AW18" i="7"/>
  <c r="BA18" i="7" s="1"/>
  <c r="AM19" i="7"/>
  <c r="AW19" i="7"/>
  <c r="BA19" i="7" s="1"/>
  <c r="AM20" i="7"/>
  <c r="AW20" i="7"/>
  <c r="BA20" i="7" s="1"/>
  <c r="AM21" i="7"/>
  <c r="AW21" i="7"/>
  <c r="BA21" i="7" s="1"/>
  <c r="AM22" i="7"/>
  <c r="AW22" i="7"/>
  <c r="BA22" i="7" s="1"/>
  <c r="AM23" i="7"/>
  <c r="AW23" i="7"/>
  <c r="BA23" i="7" s="1"/>
  <c r="AM24" i="7"/>
  <c r="AW24" i="7"/>
  <c r="BA24" i="7" s="1"/>
  <c r="AM25" i="7"/>
  <c r="AW25" i="7"/>
  <c r="BA25" i="7" s="1"/>
  <c r="AM26" i="7"/>
  <c r="AM27" i="7"/>
  <c r="AW8" i="3"/>
  <c r="BA8" i="3" s="1"/>
  <c r="AW9" i="3"/>
  <c r="BA9" i="3" s="1"/>
  <c r="AW14" i="3"/>
  <c r="BA14" i="3" s="1"/>
  <c r="AW9" i="4"/>
  <c r="BA9" i="4" s="1"/>
  <c r="AW11" i="4"/>
  <c r="BA11" i="4" s="1"/>
  <c r="AW14" i="4"/>
  <c r="BA14" i="4" s="1"/>
  <c r="AW5" i="4"/>
  <c r="BA5" i="4" s="1"/>
  <c r="AI12" i="1"/>
  <c r="AI14" i="1" s="1"/>
  <c r="AI10" i="7"/>
  <c r="AI11" i="7"/>
  <c r="AI15" i="7"/>
  <c r="AI16" i="7"/>
  <c r="AI28" i="7"/>
  <c r="AY10" i="7"/>
  <c r="AY15" i="7"/>
  <c r="AY16" i="7"/>
  <c r="AU10" i="7"/>
  <c r="AU28" i="7"/>
  <c r="AS10" i="7"/>
  <c r="AS11" i="7"/>
  <c r="AS15" i="7"/>
  <c r="AS16" i="7"/>
  <c r="AS28" i="7"/>
  <c r="AQ10" i="7"/>
  <c r="AQ11" i="7"/>
  <c r="AQ15" i="7"/>
  <c r="AQ16" i="7"/>
  <c r="AQ28" i="7"/>
  <c r="AO10" i="7"/>
  <c r="AO11" i="7"/>
  <c r="AO15" i="7"/>
  <c r="AO16" i="7"/>
  <c r="AO28" i="7"/>
  <c r="AK10" i="7"/>
  <c r="AK11" i="7"/>
  <c r="AK15" i="7"/>
  <c r="AK16" i="7"/>
  <c r="AG10" i="7"/>
  <c r="AG11" i="7"/>
  <c r="AG15" i="7"/>
  <c r="AG16" i="7"/>
  <c r="AG28" i="7"/>
  <c r="AE10" i="7"/>
  <c r="AE11" i="7"/>
  <c r="AE15" i="7"/>
  <c r="AE16" i="7"/>
  <c r="AC10" i="7"/>
  <c r="AC11" i="7"/>
  <c r="AC15" i="7"/>
  <c r="AC16" i="7"/>
  <c r="AC28" i="7"/>
  <c r="AA10" i="7"/>
  <c r="AA11" i="7"/>
  <c r="Y10" i="7"/>
  <c r="Y11" i="7"/>
  <c r="Y15" i="7"/>
  <c r="Y16" i="7"/>
  <c r="W10" i="7"/>
  <c r="W11" i="7"/>
  <c r="W15" i="7"/>
  <c r="W16" i="7"/>
  <c r="U10" i="7"/>
  <c r="U11" i="7"/>
  <c r="U15" i="7"/>
  <c r="U16" i="7"/>
  <c r="S10" i="7"/>
  <c r="S11" i="7"/>
  <c r="S15" i="7"/>
  <c r="S16" i="7"/>
  <c r="Q10" i="7"/>
  <c r="Q11" i="7"/>
  <c r="Q15" i="7"/>
  <c r="Q16" i="7"/>
  <c r="Q28" i="7"/>
  <c r="O10" i="7"/>
  <c r="O11" i="7"/>
  <c r="O15" i="7"/>
  <c r="O16" i="7"/>
  <c r="M10" i="7"/>
  <c r="M11" i="7"/>
  <c r="M15" i="7"/>
  <c r="M16" i="7"/>
  <c r="M28" i="7"/>
  <c r="K10" i="7"/>
  <c r="K11" i="7"/>
  <c r="K15" i="7"/>
  <c r="K16" i="7"/>
  <c r="I10" i="7"/>
  <c r="I16" i="7"/>
  <c r="G10" i="7"/>
  <c r="G11" i="7"/>
  <c r="G28" i="7"/>
  <c r="E10" i="7"/>
  <c r="E11" i="7"/>
  <c r="E15" i="7"/>
  <c r="E16" i="7"/>
  <c r="C10" i="7"/>
  <c r="C11" i="7"/>
  <c r="C15" i="7"/>
  <c r="C16" i="7"/>
  <c r="AW19" i="3"/>
  <c r="BA19" i="3" s="1"/>
  <c r="AV6" i="3"/>
  <c r="AZ6" i="3" s="1"/>
  <c r="AW6" i="3"/>
  <c r="BA6" i="3" s="1"/>
  <c r="AV7" i="3"/>
  <c r="AZ7" i="3"/>
  <c r="AW7" i="3"/>
  <c r="BA7" i="3" s="1"/>
  <c r="AV8" i="3"/>
  <c r="AZ8" i="3" s="1"/>
  <c r="AV9" i="3"/>
  <c r="AZ9" i="3"/>
  <c r="AV10" i="3"/>
  <c r="AZ10" i="3"/>
  <c r="AW10" i="3"/>
  <c r="BA10" i="3" s="1"/>
  <c r="AV11" i="3"/>
  <c r="AZ11" i="3"/>
  <c r="AW11" i="3"/>
  <c r="BA11" i="3" s="1"/>
  <c r="AV14" i="3"/>
  <c r="AZ14" i="3" s="1"/>
  <c r="AV15" i="3"/>
  <c r="AZ15" i="3"/>
  <c r="AW15" i="3"/>
  <c r="BA15" i="3" s="1"/>
  <c r="AV16" i="3"/>
  <c r="AZ16" i="3"/>
  <c r="AW16" i="3"/>
  <c r="BA16" i="3" s="1"/>
  <c r="AV17" i="3"/>
  <c r="AZ17" i="3" s="1"/>
  <c r="AW17" i="3"/>
  <c r="BA17" i="3" s="1"/>
  <c r="AW5" i="3"/>
  <c r="BA5" i="3" s="1"/>
  <c r="AS18" i="3"/>
  <c r="AS20" i="3"/>
  <c r="AQ18" i="3"/>
  <c r="AQ20" i="3" s="1"/>
  <c r="AO18" i="3"/>
  <c r="AO20" i="3" s="1"/>
  <c r="AK18" i="3"/>
  <c r="AK20" i="3" s="1"/>
  <c r="AG18" i="3"/>
  <c r="AG20" i="3" s="1"/>
  <c r="AE18" i="3"/>
  <c r="AE20" i="3" s="1"/>
  <c r="AC18" i="3"/>
  <c r="AC20" i="3" s="1"/>
  <c r="AA18" i="3"/>
  <c r="AA20" i="3" s="1"/>
  <c r="Y18" i="3"/>
  <c r="Y20" i="3" s="1"/>
  <c r="U18" i="3"/>
  <c r="U20" i="3" s="1"/>
  <c r="S18" i="3"/>
  <c r="S20" i="3" s="1"/>
  <c r="Q18" i="3"/>
  <c r="Q20" i="3" s="1"/>
  <c r="O18" i="3"/>
  <c r="O20" i="3" s="1"/>
  <c r="M18" i="3"/>
  <c r="M20" i="3" s="1"/>
  <c r="I18" i="3"/>
  <c r="I20" i="3" s="1"/>
  <c r="G18" i="3"/>
  <c r="G20" i="3" s="1"/>
  <c r="E18" i="3"/>
  <c r="E20" i="3" s="1"/>
  <c r="C18" i="3"/>
  <c r="C20" i="3" s="1"/>
  <c r="AV6" i="4"/>
  <c r="AZ6" i="4" s="1"/>
  <c r="AW6" i="4"/>
  <c r="BA6" i="4" s="1"/>
  <c r="AW7" i="4"/>
  <c r="BA7" i="4" s="1"/>
  <c r="AV8" i="4"/>
  <c r="AZ8" i="4" s="1"/>
  <c r="AV9" i="4"/>
  <c r="AZ9" i="4"/>
  <c r="AV10" i="4"/>
  <c r="AZ10" i="4"/>
  <c r="AW10" i="4"/>
  <c r="BA10" i="4" s="1"/>
  <c r="AV11" i="4"/>
  <c r="AZ11" i="4"/>
  <c r="AV14" i="4"/>
  <c r="AZ14" i="4" s="1"/>
  <c r="AV15" i="4"/>
  <c r="AZ15" i="4"/>
  <c r="AV16" i="4"/>
  <c r="AZ16" i="4"/>
  <c r="AW16" i="4"/>
  <c r="BA16" i="4" s="1"/>
  <c r="AV17" i="4"/>
  <c r="AZ17" i="4" s="1"/>
  <c r="AW17" i="4"/>
  <c r="BA17" i="4" s="1"/>
  <c r="AU18" i="4"/>
  <c r="AU20" i="4" s="1"/>
  <c r="AQ18" i="4"/>
  <c r="AQ20" i="4" s="1"/>
  <c r="AO18" i="4"/>
  <c r="AO20" i="4" s="1"/>
  <c r="AK18" i="4"/>
  <c r="AK20" i="4" s="1"/>
  <c r="AG18" i="4"/>
  <c r="AG20" i="4" s="1"/>
  <c r="AE18" i="4"/>
  <c r="AE20" i="4" s="1"/>
  <c r="AA18" i="4"/>
  <c r="AA20" i="4" s="1"/>
  <c r="Y18" i="4"/>
  <c r="Y20" i="4" s="1"/>
  <c r="W20" i="4"/>
  <c r="U18" i="4"/>
  <c r="U20" i="4" s="1"/>
  <c r="S18" i="4"/>
  <c r="S20" i="4" s="1"/>
  <c r="Q18" i="4"/>
  <c r="O18" i="4"/>
  <c r="O20" i="4" s="1"/>
  <c r="M18" i="4"/>
  <c r="M20" i="4" s="1"/>
  <c r="K18" i="4"/>
  <c r="K20" i="4" s="1"/>
  <c r="G18" i="4"/>
  <c r="G20" i="4" s="1"/>
  <c r="E18" i="4"/>
  <c r="E20" i="4" s="1"/>
  <c r="AY12" i="2"/>
  <c r="AY14" i="2" s="1"/>
  <c r="AU12" i="2"/>
  <c r="AU14" i="2" s="1"/>
  <c r="AS12" i="2"/>
  <c r="AS14" i="2" s="1"/>
  <c r="AQ12" i="2"/>
  <c r="AQ14" i="2" s="1"/>
  <c r="AO12" i="2"/>
  <c r="AO14" i="2" s="1"/>
  <c r="AK12" i="2"/>
  <c r="AK14" i="2" s="1"/>
  <c r="AG12" i="2"/>
  <c r="AG14" i="2" s="1"/>
  <c r="AC12" i="2"/>
  <c r="AC14" i="2" s="1"/>
  <c r="AA12" i="2"/>
  <c r="AA14" i="2" s="1"/>
  <c r="Y12" i="2"/>
  <c r="Y14" i="2" s="1"/>
  <c r="W12" i="2"/>
  <c r="W14" i="2" s="1"/>
  <c r="S12" i="2"/>
  <c r="S14" i="2" s="1"/>
  <c r="Q12" i="2"/>
  <c r="Q14" i="2" s="1"/>
  <c r="O12" i="2"/>
  <c r="O14" i="2" s="1"/>
  <c r="M12" i="2"/>
  <c r="M14" i="2" s="1"/>
  <c r="K12" i="2"/>
  <c r="K14" i="2" s="1"/>
  <c r="G12" i="2"/>
  <c r="G14" i="2" s="1"/>
  <c r="C12" i="2"/>
  <c r="C14" i="2" s="1"/>
  <c r="AY12" i="1"/>
  <c r="AY14" i="1" s="1"/>
  <c r="AQ12" i="1"/>
  <c r="AQ14" i="1" s="1"/>
  <c r="AO12" i="1"/>
  <c r="AO14" i="1" s="1"/>
  <c r="AE12" i="1"/>
  <c r="AE14" i="1" s="1"/>
  <c r="AC12" i="1"/>
  <c r="AC14" i="1" s="1"/>
  <c r="AA12" i="1"/>
  <c r="AA14" i="1" s="1"/>
  <c r="Y12" i="1"/>
  <c r="Y14" i="1" s="1"/>
  <c r="W12" i="1"/>
  <c r="W14" i="1" s="1"/>
  <c r="U12" i="1"/>
  <c r="U14" i="1" s="1"/>
  <c r="S12" i="1"/>
  <c r="M12" i="1"/>
  <c r="M14" i="1" s="1"/>
  <c r="I12" i="1"/>
  <c r="I14" i="1" s="1"/>
  <c r="G12" i="1"/>
  <c r="G14" i="1" s="1"/>
  <c r="BA6" i="22"/>
  <c r="W14" i="22"/>
  <c r="AW7" i="22"/>
  <c r="BA7" i="22" s="1"/>
  <c r="AW8" i="22"/>
  <c r="BA8" i="22" s="1"/>
  <c r="AW9" i="22"/>
  <c r="BA9" i="22" s="1"/>
  <c r="AW10" i="22"/>
  <c r="BA10" i="22" s="1"/>
  <c r="AW11" i="22"/>
  <c r="BA11" i="22" s="1"/>
  <c r="AW12" i="22"/>
  <c r="BA12" i="22" s="1"/>
  <c r="AW13" i="22"/>
  <c r="BA13" i="22" s="1"/>
  <c r="AW4" i="22"/>
  <c r="BA4" i="22"/>
  <c r="AS14" i="22"/>
  <c r="AG14" i="22"/>
  <c r="AI14" i="22"/>
  <c r="AK14" i="22"/>
  <c r="AM14" i="22"/>
  <c r="AA14" i="22"/>
  <c r="AC14" i="22"/>
  <c r="AE14" i="22"/>
  <c r="Y14" i="22"/>
  <c r="S14" i="22"/>
  <c r="U14" i="22"/>
  <c r="M14" i="22"/>
  <c r="O14" i="22"/>
  <c r="Q14" i="22"/>
  <c r="AX12" i="1"/>
  <c r="AX9" i="7"/>
  <c r="AX14" i="7"/>
  <c r="AT9" i="7"/>
  <c r="AT12" i="7"/>
  <c r="AT14" i="7"/>
  <c r="AR9" i="7"/>
  <c r="AR12" i="7"/>
  <c r="AR14" i="7"/>
  <c r="AP9" i="7"/>
  <c r="AP12" i="7"/>
  <c r="AP14" i="7"/>
  <c r="AN9" i="7"/>
  <c r="AN12" i="7"/>
  <c r="AN14" i="7"/>
  <c r="AL9" i="7"/>
  <c r="AL28" i="7"/>
  <c r="AJ9" i="7"/>
  <c r="AJ12" i="7"/>
  <c r="AJ14" i="7"/>
  <c r="AH9" i="7"/>
  <c r="AH12" i="7"/>
  <c r="AH14" i="7"/>
  <c r="AF9" i="7"/>
  <c r="AF12" i="7"/>
  <c r="AF14" i="7"/>
  <c r="AD9" i="7"/>
  <c r="AD12" i="7"/>
  <c r="AD14" i="7"/>
  <c r="AB9" i="7"/>
  <c r="Z9" i="7"/>
  <c r="Z12" i="7"/>
  <c r="Z14" i="7"/>
  <c r="X9" i="7"/>
  <c r="X12" i="7"/>
  <c r="X14" i="7"/>
  <c r="V9" i="7"/>
  <c r="V12" i="7"/>
  <c r="V14" i="7"/>
  <c r="T9" i="7"/>
  <c r="T12" i="7"/>
  <c r="T14" i="7"/>
  <c r="R9" i="7"/>
  <c r="R12" i="7"/>
  <c r="R14" i="7"/>
  <c r="P9" i="7"/>
  <c r="P12" i="7"/>
  <c r="P14" i="7"/>
  <c r="N9" i="7"/>
  <c r="N12" i="7"/>
  <c r="N14" i="7"/>
  <c r="L9" i="7"/>
  <c r="L12" i="7"/>
  <c r="L14" i="7"/>
  <c r="J9" i="7"/>
  <c r="J12" i="7"/>
  <c r="J14" i="7"/>
  <c r="H9" i="7"/>
  <c r="H12" i="7"/>
  <c r="F9" i="7"/>
  <c r="D9" i="7"/>
  <c r="D12" i="7"/>
  <c r="D14" i="7"/>
  <c r="B9" i="7"/>
  <c r="B12" i="7"/>
  <c r="AV8" i="5"/>
  <c r="AZ8" i="5"/>
  <c r="AV9" i="5"/>
  <c r="AZ9" i="5"/>
  <c r="AV7" i="5"/>
  <c r="AY10" i="5"/>
  <c r="AY12" i="5" s="1"/>
  <c r="AX10" i="5"/>
  <c r="AX12" i="5"/>
  <c r="Y4" i="23"/>
  <c r="AA4" i="23" s="1"/>
  <c r="AA8" i="23" s="1"/>
  <c r="K14" i="22"/>
  <c r="AU14" i="22"/>
  <c r="E14" i="22"/>
  <c r="G14" i="22"/>
  <c r="I14" i="22"/>
  <c r="C14" i="22"/>
  <c r="AV6" i="2"/>
  <c r="AZ6" i="2" s="1"/>
  <c r="AW6" i="2"/>
  <c r="BA6" i="2" s="1"/>
  <c r="AV7" i="2"/>
  <c r="AZ7" i="2" s="1"/>
  <c r="AV8" i="2"/>
  <c r="AZ8" i="2" s="1"/>
  <c r="AV9" i="2"/>
  <c r="AZ9" i="2" s="1"/>
  <c r="AV10" i="2"/>
  <c r="AZ10" i="2" s="1"/>
  <c r="AV11" i="2"/>
  <c r="AZ11" i="2"/>
  <c r="AV13" i="2"/>
  <c r="AZ13" i="2"/>
  <c r="AW13" i="2"/>
  <c r="BA13" i="2"/>
  <c r="AW5" i="2"/>
  <c r="BA5" i="2" s="1"/>
  <c r="AV5" i="2"/>
  <c r="AZ5" i="2" s="1"/>
  <c r="AB12" i="2"/>
  <c r="AB14" i="2"/>
  <c r="AB12" i="1"/>
  <c r="AB14" i="1"/>
  <c r="AY18" i="3"/>
  <c r="AY20" i="3" s="1"/>
  <c r="AX18" i="3"/>
  <c r="AX20" i="3"/>
  <c r="D18" i="3"/>
  <c r="D20" i="3"/>
  <c r="F18" i="3"/>
  <c r="F20" i="3"/>
  <c r="H18" i="3"/>
  <c r="H20" i="3" s="1"/>
  <c r="J18" i="3"/>
  <c r="J20" i="3"/>
  <c r="K18" i="3"/>
  <c r="K20" i="3" s="1"/>
  <c r="L18" i="3"/>
  <c r="L20" i="3"/>
  <c r="N18" i="3"/>
  <c r="N20" i="3"/>
  <c r="P18" i="3"/>
  <c r="P20" i="3"/>
  <c r="R18" i="3"/>
  <c r="R20" i="3"/>
  <c r="T18" i="3"/>
  <c r="V18" i="3"/>
  <c r="V20" i="3"/>
  <c r="W18" i="3"/>
  <c r="W20" i="3" s="1"/>
  <c r="X18" i="3"/>
  <c r="X20" i="3"/>
  <c r="Z18" i="3"/>
  <c r="Z20" i="3"/>
  <c r="AB18" i="3"/>
  <c r="AB20" i="3"/>
  <c r="AD18" i="3"/>
  <c r="AD20" i="3"/>
  <c r="AF18" i="3"/>
  <c r="AF20" i="3"/>
  <c r="AH18" i="3"/>
  <c r="AH20" i="3"/>
  <c r="AI18" i="3"/>
  <c r="AI20" i="3" s="1"/>
  <c r="AJ18" i="3"/>
  <c r="AJ20" i="3"/>
  <c r="AL18" i="3"/>
  <c r="AL20" i="3"/>
  <c r="AM18" i="3"/>
  <c r="AM20" i="3"/>
  <c r="AN18" i="3"/>
  <c r="AN20" i="3"/>
  <c r="AP18" i="3"/>
  <c r="AP20" i="3"/>
  <c r="AR18" i="3"/>
  <c r="AR20" i="3"/>
  <c r="AT18" i="3"/>
  <c r="AT20" i="3"/>
  <c r="AU18" i="3"/>
  <c r="AU20" i="3" s="1"/>
  <c r="B18" i="3"/>
  <c r="B20" i="3" s="1"/>
  <c r="AY18" i="4"/>
  <c r="AY20" i="4" s="1"/>
  <c r="AX18" i="4"/>
  <c r="AX20" i="4"/>
  <c r="D18" i="4"/>
  <c r="D20" i="4"/>
  <c r="F18" i="4"/>
  <c r="F20" i="4"/>
  <c r="H18" i="4"/>
  <c r="H20" i="4" s="1"/>
  <c r="J18" i="4"/>
  <c r="J20" i="4"/>
  <c r="L18" i="4"/>
  <c r="L20" i="4"/>
  <c r="N18" i="4"/>
  <c r="N20" i="4"/>
  <c r="P18" i="4"/>
  <c r="P20" i="4" s="1"/>
  <c r="R18" i="4"/>
  <c r="R20" i="4"/>
  <c r="T18" i="4"/>
  <c r="T20" i="4"/>
  <c r="V18" i="4"/>
  <c r="V20" i="4"/>
  <c r="X18" i="4"/>
  <c r="X20" i="4"/>
  <c r="Z18" i="4"/>
  <c r="Z20" i="4"/>
  <c r="AB18" i="4"/>
  <c r="AB20" i="4"/>
  <c r="AC18" i="4"/>
  <c r="AC20" i="4" s="1"/>
  <c r="AD18" i="4"/>
  <c r="AD20" i="4"/>
  <c r="AF18" i="4"/>
  <c r="AF20" i="4"/>
  <c r="AH18" i="4"/>
  <c r="AH20" i="4"/>
  <c r="AJ18" i="4"/>
  <c r="AJ20" i="4"/>
  <c r="AL18" i="4"/>
  <c r="AL20" i="4"/>
  <c r="AM18" i="4"/>
  <c r="AM20" i="4"/>
  <c r="AN18" i="4"/>
  <c r="AN20" i="4"/>
  <c r="AP18" i="4"/>
  <c r="AP20" i="4"/>
  <c r="AR18" i="4"/>
  <c r="AR20" i="4"/>
  <c r="AS18" i="4"/>
  <c r="AS20" i="4" s="1"/>
  <c r="AT18" i="4"/>
  <c r="AT20" i="4"/>
  <c r="B18" i="4"/>
  <c r="B20" i="4"/>
  <c r="AX12" i="2"/>
  <c r="AX14" i="2"/>
  <c r="D12" i="2"/>
  <c r="D14" i="2"/>
  <c r="E12" i="2"/>
  <c r="F12" i="2"/>
  <c r="F14" i="2"/>
  <c r="H12" i="2"/>
  <c r="H14" i="2" s="1"/>
  <c r="I12" i="2"/>
  <c r="I14" i="2" s="1"/>
  <c r="J12" i="2"/>
  <c r="J14" i="2"/>
  <c r="L12" i="2"/>
  <c r="L14" i="2"/>
  <c r="N12" i="2"/>
  <c r="N14" i="2"/>
  <c r="R12" i="2"/>
  <c r="R14" i="2"/>
  <c r="T12" i="2"/>
  <c r="T14" i="2"/>
  <c r="U12" i="2"/>
  <c r="U14" i="2" s="1"/>
  <c r="V12" i="2"/>
  <c r="V14" i="2"/>
  <c r="X12" i="2"/>
  <c r="X14" i="2"/>
  <c r="Z12" i="2"/>
  <c r="Z14" i="2"/>
  <c r="P12" i="2"/>
  <c r="P14" i="2" s="1"/>
  <c r="AD12" i="2"/>
  <c r="AD14" i="2"/>
  <c r="AE12" i="2"/>
  <c r="AE14" i="2" s="1"/>
  <c r="AF12" i="2"/>
  <c r="AF14" i="2"/>
  <c r="AH12" i="2"/>
  <c r="AH14" i="2"/>
  <c r="AI12" i="2"/>
  <c r="AI14" i="2" s="1"/>
  <c r="AJ12" i="2"/>
  <c r="AJ14" i="2"/>
  <c r="AL12" i="2"/>
  <c r="AL14" i="2"/>
  <c r="AM12" i="2"/>
  <c r="AM14" i="2"/>
  <c r="AN12" i="2"/>
  <c r="AN14" i="2"/>
  <c r="AP12" i="2"/>
  <c r="AP14" i="2"/>
  <c r="AR12" i="2"/>
  <c r="AR14" i="2"/>
  <c r="AT12" i="2"/>
  <c r="AT14" i="2"/>
  <c r="B12" i="2"/>
  <c r="D12" i="1"/>
  <c r="D14" i="1"/>
  <c r="E12" i="1"/>
  <c r="E14" i="1" s="1"/>
  <c r="F12" i="1"/>
  <c r="F14" i="1"/>
  <c r="H12" i="1"/>
  <c r="H14" i="1" s="1"/>
  <c r="AV14" i="1" s="1"/>
  <c r="AZ14" i="1" s="1"/>
  <c r="J12" i="1"/>
  <c r="J14" i="1"/>
  <c r="K12" i="1"/>
  <c r="K14" i="1" s="1"/>
  <c r="L12" i="1"/>
  <c r="L14" i="1"/>
  <c r="N12" i="1"/>
  <c r="N14" i="1"/>
  <c r="O12" i="1"/>
  <c r="O14" i="1" s="1"/>
  <c r="R12" i="1"/>
  <c r="R14" i="1"/>
  <c r="T12" i="1"/>
  <c r="T14" i="1"/>
  <c r="V12" i="1"/>
  <c r="V14" i="1"/>
  <c r="Z12" i="1"/>
  <c r="Z14" i="1"/>
  <c r="P12" i="1"/>
  <c r="P14" i="1"/>
  <c r="Q12" i="1"/>
  <c r="Q14" i="1" s="1"/>
  <c r="AD12" i="1"/>
  <c r="AD14" i="1"/>
  <c r="AF12" i="1"/>
  <c r="AF14" i="1"/>
  <c r="AG12" i="1"/>
  <c r="AG14" i="1" s="1"/>
  <c r="AH12" i="1"/>
  <c r="AH14" i="1"/>
  <c r="AJ12" i="1"/>
  <c r="AJ14" i="1"/>
  <c r="AL12" i="1"/>
  <c r="AL14" i="1"/>
  <c r="AM12" i="1"/>
  <c r="AM14" i="1"/>
  <c r="AN12" i="1"/>
  <c r="AN14" i="1"/>
  <c r="AP12" i="1"/>
  <c r="AP14" i="1"/>
  <c r="AR12" i="1"/>
  <c r="AR14" i="1"/>
  <c r="AS12" i="1"/>
  <c r="AS14" i="1" s="1"/>
  <c r="AT12" i="1"/>
  <c r="AT14" i="1"/>
  <c r="AU12" i="1"/>
  <c r="AU14" i="1" s="1"/>
  <c r="C12" i="1"/>
  <c r="C14" i="1" s="1"/>
  <c r="B12" i="1"/>
  <c r="B14" i="1"/>
  <c r="AN28" i="7"/>
  <c r="AT28" i="7"/>
  <c r="AR28" i="7"/>
  <c r="AP28" i="7"/>
  <c r="AK28" i="7"/>
  <c r="AJ28" i="7"/>
  <c r="AH28" i="7"/>
  <c r="AF28" i="7"/>
  <c r="AE28" i="7"/>
  <c r="AD28" i="7"/>
  <c r="AB28" i="7"/>
  <c r="AA28" i="7"/>
  <c r="Z28" i="7"/>
  <c r="X28" i="7"/>
  <c r="V28" i="7"/>
  <c r="T28" i="7"/>
  <c r="R28" i="7"/>
  <c r="P28" i="7"/>
  <c r="N28" i="7"/>
  <c r="L28" i="7"/>
  <c r="J28" i="7"/>
  <c r="F28" i="7"/>
  <c r="D28" i="7"/>
  <c r="AV27" i="7"/>
  <c r="AZ27" i="7"/>
  <c r="AV25" i="7"/>
  <c r="AZ25" i="7"/>
  <c r="AV24" i="7"/>
  <c r="AZ24" i="7"/>
  <c r="AV23" i="7"/>
  <c r="AZ23" i="7" s="1"/>
  <c r="AV22" i="7"/>
  <c r="AZ22" i="7" s="1"/>
  <c r="AV21" i="7"/>
  <c r="AZ21" i="7" s="1"/>
  <c r="AV20" i="7"/>
  <c r="AZ20" i="7" s="1"/>
  <c r="AV19" i="7"/>
  <c r="AZ19" i="7" s="1"/>
  <c r="AV18" i="7"/>
  <c r="AZ18" i="7" s="1"/>
  <c r="AV17" i="7"/>
  <c r="AZ17" i="7" s="1"/>
  <c r="AV16" i="7"/>
  <c r="AZ16" i="7"/>
  <c r="AV15" i="7"/>
  <c r="AZ15" i="7"/>
  <c r="AV11" i="7"/>
  <c r="AZ11" i="7"/>
  <c r="AV10" i="7"/>
  <c r="AZ10" i="7"/>
  <c r="AV8" i="7"/>
  <c r="AZ8" i="7"/>
  <c r="AW7" i="7"/>
  <c r="BA7" i="7" s="1"/>
  <c r="AV7" i="7"/>
  <c r="AZ7" i="7"/>
  <c r="AW6" i="7"/>
  <c r="BA6" i="7" s="1"/>
  <c r="AV6" i="7"/>
  <c r="AZ6" i="7"/>
  <c r="AV30" i="6"/>
  <c r="AZ30" i="6"/>
  <c r="AV28" i="6"/>
  <c r="AZ28" i="6"/>
  <c r="AV27" i="6"/>
  <c r="AZ27" i="6" s="1"/>
  <c r="AV24" i="6"/>
  <c r="AZ24" i="6" s="1"/>
  <c r="AV21" i="6"/>
  <c r="AZ21" i="6"/>
  <c r="AV20" i="6"/>
  <c r="AZ20" i="6"/>
  <c r="AV19" i="6"/>
  <c r="AZ19" i="6"/>
  <c r="AV18" i="6"/>
  <c r="AZ18" i="6"/>
  <c r="AV17" i="6"/>
  <c r="AZ17" i="6"/>
  <c r="AZ16" i="6"/>
  <c r="AV15" i="6"/>
  <c r="AZ15" i="6"/>
  <c r="AV14" i="6"/>
  <c r="AZ14" i="6"/>
  <c r="AV13" i="6"/>
  <c r="AZ13" i="6"/>
  <c r="AV12" i="6"/>
  <c r="AZ12" i="6"/>
  <c r="AV11" i="6"/>
  <c r="AZ11" i="6"/>
  <c r="AV10" i="6"/>
  <c r="AZ10" i="6"/>
  <c r="AV8" i="6"/>
  <c r="AZ8" i="6"/>
  <c r="AV7" i="6"/>
  <c r="AZ7" i="6"/>
  <c r="AV6" i="6"/>
  <c r="AZ6" i="6"/>
  <c r="AW8" i="5"/>
  <c r="BA8" i="5" s="1"/>
  <c r="AW19" i="4"/>
  <c r="BA19" i="4" s="1"/>
  <c r="AV19" i="4"/>
  <c r="AZ19" i="4"/>
  <c r="AV5" i="4"/>
  <c r="AZ5" i="4" s="1"/>
  <c r="AV19" i="3"/>
  <c r="AZ19" i="3"/>
  <c r="AV5" i="3"/>
  <c r="AZ5" i="3" s="1"/>
  <c r="I18" i="4"/>
  <c r="I20" i="4" s="1"/>
  <c r="C18" i="4"/>
  <c r="AW8" i="2"/>
  <c r="BA8" i="2" s="1"/>
  <c r="AW11" i="2"/>
  <c r="BA11" i="2" s="1"/>
  <c r="AW10" i="2"/>
  <c r="BA10" i="2" s="1"/>
  <c r="AW9" i="2"/>
  <c r="BA9" i="2" s="1"/>
  <c r="AW7" i="2"/>
  <c r="BA7" i="2" s="1"/>
  <c r="Q14" i="5"/>
  <c r="K14" i="5"/>
  <c r="AW7" i="5"/>
  <c r="BA7" i="5" s="1"/>
  <c r="AY28" i="7"/>
  <c r="BA27" i="7"/>
  <c r="U28" i="7"/>
  <c r="E28" i="7"/>
  <c r="S28" i="7"/>
  <c r="Y28" i="7"/>
  <c r="W28" i="7"/>
  <c r="O28" i="7"/>
  <c r="K28" i="7"/>
  <c r="AW8" i="7"/>
  <c r="BA8" i="7" s="1"/>
  <c r="AI18" i="4"/>
  <c r="AI20" i="4" s="1"/>
  <c r="AW9" i="5"/>
  <c r="BA9" i="5" s="1"/>
  <c r="AK12" i="1"/>
  <c r="AK14" i="1" s="1"/>
  <c r="T34" i="6"/>
  <c r="AV22" i="6"/>
  <c r="AZ22" i="6"/>
  <c r="AS34" i="6"/>
  <c r="AS36" i="6" s="1"/>
  <c r="AS38" i="6" s="1"/>
  <c r="AU34" i="6"/>
  <c r="AU36" i="6" s="1"/>
  <c r="AU38" i="6" s="1"/>
  <c r="AW11" i="1"/>
  <c r="BA11" i="1" s="1"/>
  <c r="AB12" i="7"/>
  <c r="AB14" i="7"/>
  <c r="I14" i="5"/>
  <c r="AG12" i="5"/>
  <c r="AM14" i="5"/>
  <c r="AP14" i="5"/>
  <c r="AJ14" i="5"/>
  <c r="AA12" i="5"/>
  <c r="T12" i="5"/>
  <c r="C12" i="5"/>
  <c r="D14" i="5"/>
  <c r="U34" i="6"/>
  <c r="U36" i="6" s="1"/>
  <c r="U38" i="6" s="1"/>
  <c r="AW22" i="6"/>
  <c r="BA22" i="6" s="1"/>
  <c r="AW15" i="7"/>
  <c r="BA15" i="7"/>
  <c r="AE12" i="5"/>
  <c r="E12" i="5"/>
  <c r="E14" i="5"/>
  <c r="E14" i="2"/>
  <c r="AX14" i="1"/>
  <c r="AM9" i="7"/>
  <c r="AM28" i="7"/>
  <c r="AL12" i="7"/>
  <c r="AL14" i="7"/>
  <c r="N14" i="5"/>
  <c r="X14" i="5"/>
  <c r="F14" i="5"/>
  <c r="AQ12" i="5"/>
  <c r="Y12" i="5"/>
  <c r="AL12" i="5"/>
  <c r="AV14" i="11"/>
  <c r="AZ14" i="11" s="1"/>
  <c r="AT51" i="31"/>
  <c r="AV23" i="31"/>
  <c r="AZ23" i="31" s="1"/>
  <c r="AR51" i="31"/>
  <c r="AN51" i="31"/>
  <c r="N10" i="31"/>
  <c r="AW5" i="31"/>
  <c r="BA5" i="31" s="1"/>
  <c r="Q10" i="31"/>
  <c r="C51" i="31"/>
  <c r="AH51" i="31"/>
  <c r="AD51" i="31"/>
  <c r="AB51" i="31"/>
  <c r="Z51" i="31"/>
  <c r="V51" i="31"/>
  <c r="P51" i="31"/>
  <c r="AV47" i="31"/>
  <c r="AZ47" i="31" s="1"/>
  <c r="N51" i="31"/>
  <c r="AV50" i="31"/>
  <c r="AZ50" i="31" s="1"/>
  <c r="B51" i="31"/>
  <c r="AW16" i="7"/>
  <c r="BA16" i="7"/>
  <c r="B38" i="6"/>
  <c r="F12" i="7"/>
  <c r="F14" i="7"/>
  <c r="S14" i="1"/>
  <c r="B14" i="2"/>
  <c r="H14" i="7"/>
  <c r="H12" i="5"/>
  <c r="AT38" i="32"/>
  <c r="AV12" i="1"/>
  <c r="AZ12" i="1" s="1"/>
  <c r="T20" i="3"/>
  <c r="Q20" i="4"/>
  <c r="B14" i="5"/>
  <c r="B42" i="32"/>
  <c r="AT14" i="5"/>
  <c r="AR14" i="5"/>
  <c r="AN12" i="5"/>
  <c r="AH12" i="5"/>
  <c r="AF12" i="5"/>
  <c r="AD14" i="5"/>
  <c r="AU12" i="5"/>
  <c r="AI14" i="5"/>
  <c r="Z14" i="5"/>
  <c r="AB14" i="5"/>
  <c r="AC12" i="5"/>
  <c r="V14" i="5"/>
  <c r="R14" i="5"/>
  <c r="P14" i="5"/>
  <c r="S14" i="5"/>
  <c r="U14" i="5"/>
  <c r="W12" i="5"/>
  <c r="AV9" i="7"/>
  <c r="AZ9" i="7"/>
  <c r="L14" i="5"/>
  <c r="M14" i="5"/>
  <c r="J38" i="6"/>
  <c r="AV10" i="5"/>
  <c r="AV12" i="5"/>
  <c r="AZ7" i="5"/>
  <c r="J14" i="5"/>
  <c r="AV12" i="22"/>
  <c r="AZ12" i="22" s="1"/>
  <c r="AZ20" i="32"/>
  <c r="AZ10" i="32"/>
  <c r="AZ12" i="5"/>
  <c r="D38" i="6"/>
  <c r="AV12" i="7"/>
  <c r="AZ12" i="7"/>
  <c r="B14" i="7"/>
  <c r="AV14" i="7"/>
  <c r="AZ14" i="7"/>
  <c r="AV14" i="5"/>
  <c r="AZ14" i="5"/>
  <c r="AZ10" i="5"/>
  <c r="AW10" i="7"/>
  <c r="BA10" i="7"/>
  <c r="AZ19" i="32"/>
  <c r="H25" i="32"/>
  <c r="H32" i="32"/>
  <c r="H42" i="32"/>
  <c r="AW11" i="7"/>
  <c r="BA11" i="7" s="1"/>
  <c r="Z13" i="11"/>
  <c r="AZ25" i="32"/>
  <c r="AZ42" i="32"/>
  <c r="AZ32" i="32"/>
  <c r="E51" i="31"/>
  <c r="M51" i="31"/>
  <c r="L51" i="31"/>
  <c r="AV41" i="11"/>
  <c r="AW22" i="11"/>
  <c r="BA22" i="11" s="1"/>
  <c r="H51" i="31"/>
  <c r="AV10" i="31"/>
  <c r="AZ10" i="31" s="1"/>
  <c r="AV36" i="30"/>
  <c r="AZ36" i="30"/>
  <c r="AV34" i="6"/>
  <c r="AZ34" i="6" s="1"/>
  <c r="T36" i="6"/>
  <c r="T38" i="6"/>
  <c r="AU51" i="31"/>
  <c r="AT38" i="6"/>
  <c r="X22" i="32"/>
  <c r="X25" i="32"/>
  <c r="X32" i="32"/>
  <c r="T32" i="32"/>
  <c r="T42" i="32"/>
  <c r="AP51" i="31"/>
  <c r="AV38" i="30"/>
  <c r="AZ38" i="30"/>
  <c r="R51" i="31"/>
  <c r="AW50" i="31"/>
  <c r="BA50" i="31" s="1"/>
  <c r="T51" i="31"/>
  <c r="U51" i="31"/>
  <c r="AV13" i="11"/>
  <c r="AZ13" i="11" s="1"/>
  <c r="AV14" i="22" l="1"/>
  <c r="AZ14" i="22" s="1"/>
  <c r="AQ51" i="31"/>
  <c r="AO51" i="31"/>
  <c r="AK12" i="5"/>
  <c r="AG51" i="31"/>
  <c r="AW36" i="30"/>
  <c r="BA36" i="30" s="1"/>
  <c r="AA51" i="31"/>
  <c r="Y38" i="30"/>
  <c r="Y51" i="31"/>
  <c r="W51" i="31"/>
  <c r="AV28" i="7"/>
  <c r="AZ28" i="7" s="1"/>
  <c r="AV14" i="2"/>
  <c r="AZ14" i="2" s="1"/>
  <c r="AV18" i="4"/>
  <c r="AZ18" i="4" s="1"/>
  <c r="AV20" i="4"/>
  <c r="AZ20" i="4" s="1"/>
  <c r="O51" i="31"/>
  <c r="M27" i="11"/>
  <c r="AW27" i="11" s="1"/>
  <c r="BA27" i="11" s="1"/>
  <c r="AV18" i="3"/>
  <c r="AZ18" i="3" s="1"/>
  <c r="AV20" i="3"/>
  <c r="AZ20" i="3" s="1"/>
  <c r="AV12" i="2"/>
  <c r="AZ12" i="2" s="1"/>
  <c r="I51" i="31"/>
  <c r="AV36" i="6"/>
  <c r="AZ36" i="6" s="1"/>
  <c r="F38" i="6"/>
  <c r="AV38" i="6" s="1"/>
  <c r="AZ38" i="6" s="1"/>
  <c r="G51" i="31"/>
  <c r="Y8" i="23"/>
  <c r="AW12" i="2"/>
  <c r="BA12" i="2" s="1"/>
  <c r="AW14" i="2"/>
  <c r="BA14" i="2" s="1"/>
  <c r="AW18" i="4"/>
  <c r="BA18" i="4" s="1"/>
  <c r="AW20" i="3"/>
  <c r="BA20" i="3" s="1"/>
  <c r="AW42" i="32"/>
  <c r="BA42" i="32" s="1"/>
  <c r="AW19" i="32"/>
  <c r="BA19" i="32" s="1"/>
  <c r="AW32" i="32"/>
  <c r="BA32" i="32" s="1"/>
  <c r="AW25" i="32"/>
  <c r="BA25" i="32" s="1"/>
  <c r="AW22" i="32"/>
  <c r="BA22" i="32" s="1"/>
  <c r="AW13" i="32"/>
  <c r="BA13" i="32" s="1"/>
  <c r="AW14" i="22"/>
  <c r="BA14" i="22" s="1"/>
  <c r="AW36" i="6"/>
  <c r="BA36" i="6" s="1"/>
  <c r="C38" i="6"/>
  <c r="AW38" i="6" s="1"/>
  <c r="BA38" i="6" s="1"/>
  <c r="AW34" i="6"/>
  <c r="BA34" i="6" s="1"/>
  <c r="AW38" i="30"/>
  <c r="BA38" i="30" s="1"/>
  <c r="AW28" i="7"/>
  <c r="BA28" i="7" s="1"/>
  <c r="AW9" i="7"/>
  <c r="BA9" i="7" s="1"/>
  <c r="E12" i="7"/>
  <c r="E14" i="7" s="1"/>
  <c r="AW12" i="1"/>
  <c r="BA12" i="1" s="1"/>
  <c r="AW14" i="1"/>
  <c r="BA14" i="1" s="1"/>
  <c r="C20" i="4"/>
  <c r="AW20" i="4" s="1"/>
  <c r="BA20" i="4" s="1"/>
  <c r="AW18" i="3"/>
  <c r="BA18" i="3" s="1"/>
  <c r="AS14" i="5"/>
  <c r="AO12" i="5"/>
  <c r="O14" i="5"/>
  <c r="AW14" i="5" s="1"/>
  <c r="BA14" i="5" s="1"/>
  <c r="AW10" i="5"/>
  <c r="BA10" i="5" s="1"/>
  <c r="AE51" i="31"/>
  <c r="AC51" i="31"/>
  <c r="Q51" i="31"/>
  <c r="K51" i="31"/>
  <c r="AW47" i="31"/>
  <c r="BA47" i="31" s="1"/>
  <c r="AW10" i="31"/>
  <c r="BA10" i="31" s="1"/>
  <c r="AW13" i="11"/>
  <c r="BA13" i="11" s="1"/>
  <c r="AW41" i="11"/>
  <c r="BA41" i="11"/>
  <c r="AS51" i="31"/>
  <c r="AJ51" i="31"/>
  <c r="AV51" i="31" s="1"/>
  <c r="AZ51" i="31" s="1"/>
  <c r="AK51" i="31"/>
  <c r="AV27" i="11"/>
  <c r="AZ27" i="11" s="1"/>
  <c r="AI51" i="31"/>
  <c r="AZ41" i="11"/>
  <c r="AW12" i="5" l="1"/>
  <c r="BA12" i="5" s="1"/>
  <c r="AW51" i="31"/>
  <c r="BA51" i="31" s="1"/>
  <c r="BA14" i="7"/>
  <c r="AW14" i="7"/>
  <c r="AM14" i="7"/>
  <c r="BA12" i="7"/>
  <c r="AM12" i="7"/>
  <c r="AW12" i="7"/>
</calcChain>
</file>

<file path=xl/sharedStrings.xml><?xml version="1.0" encoding="utf-8"?>
<sst xmlns="http://schemas.openxmlformats.org/spreadsheetml/2006/main" count="1540" uniqueCount="394">
  <si>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</si>
  <si>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</si>
  <si>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</si>
  <si>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</si>
  <si>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</si>
  <si>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</si>
  <si>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</si>
  <si>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</si>
  <si>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</si>
  <si>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</si>
  <si>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</si>
  <si>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</si>
  <si>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</si>
  <si>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</si>
  <si>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</si>
  <si>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</si>
  <si>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</si>
  <si>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</si>
  <si>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</si>
  <si>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</si>
  <si>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</si>
  <si>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</si>
  <si>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</si>
  <si>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</si>
  <si>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</si>
  <si>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</si>
  <si>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</si>
  <si>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</si>
  <si>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</si>
  <si>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</si>
  <si>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</si>
  <si>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</si>
  <si>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</si>
  <si>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</si>
  <si>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</si>
  <si>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</si>
  <si>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</si>
  <si>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</si>
  <si>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</si>
  <si>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</si>
  <si>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</si>
  <si>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</si>
  <si>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</si>
  <si>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</si>
  <si>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</si>
  <si>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</si>
  <si>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</si>
  <si>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</si>
  <si>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</si>
  <si>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</si>
  <si>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</si>
  <si>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</si>
  <si>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</si>
  <si>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</si>
  <si>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</si>
  <si>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</si>
  <si>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</si>
  <si>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</si>
  <si>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</si>
  <si>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</si>
  <si>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</si>
  <si>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</si>
  <si>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</si>
  <si>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</si>
  <si>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</si>
  <si>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</si>
  <si>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</si>
  <si>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</si>
  <si>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</si>
  <si>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</si>
  <si>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</si>
  <si>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</si>
  <si>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</si>
  <si>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</si>
  <si>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</si>
  <si>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</si>
  <si>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</si>
  <si>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</si>
  <si>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</si>
  <si>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</si>
  <si>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</si>
  <si>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</si>
  <si>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</si>
  <si>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</si>
  <si>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</si>
  <si>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</si>
  <si>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</si>
  <si>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</si>
  <si>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</si>
  <si>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</si>
  <si>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</si>
  <si>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</si>
  <si>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</si>
  <si>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</si>
  <si>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</si>
  <si>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</si>
  <si>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</si>
  <si>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</si>
  <si>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</si>
  <si>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</si>
  <si>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</si>
  <si>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</si>
  <si>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</si>
  <si>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</si>
  <si>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</si>
  <si>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</si>
  <si>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t>Basic</t>
  </si>
  <si>
    <t>Diluted</t>
  </si>
  <si>
    <t>L2:PROFIT &amp; LOSS ACCOUNT</t>
  </si>
  <si>
    <t>L5:COMMISSION SCHEDULE</t>
  </si>
  <si>
    <t>L7:BENEFITS PAID SCHEDULE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</si>
  <si>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</si>
  <si>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</si>
  <si>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</si>
  <si>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</si>
  <si>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</si>
  <si>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</si>
  <si>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</si>
  <si>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</si>
  <si>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</si>
  <si>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</si>
  <si>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</si>
  <si>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</si>
  <si>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</si>
  <si>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</si>
  <si>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</si>
  <si>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</si>
  <si>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</si>
  <si>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</si>
  <si>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</si>
  <si>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</si>
  <si>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</si>
  <si>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</si>
  <si>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</si>
  <si>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</si>
  <si>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</si>
  <si>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</si>
  <si>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</si>
  <si>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</si>
  <si>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</si>
  <si>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</si>
  <si>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</si>
  <si>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</si>
  <si>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</si>
  <si>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</si>
  <si>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</si>
  <si>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</si>
  <si>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</si>
  <si>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</si>
  <si>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</si>
  <si>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</si>
  <si>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</si>
  <si>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</si>
  <si>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</si>
  <si>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</si>
  <si>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</si>
  <si>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</si>
  <si>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</si>
  <si>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</si>
  <si>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</si>
  <si>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</si>
  <si>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</si>
  <si>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</si>
  <si>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</si>
  <si>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</si>
  <si>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</si>
  <si>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</si>
  <si>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</si>
  <si>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</si>
  <si>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</si>
  <si>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</si>
  <si>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</si>
  <si>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</si>
  <si>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</si>
  <si>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</si>
  <si>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</si>
  <si>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</si>
  <si>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</si>
  <si>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</si>
  <si>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</si>
  <si>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</si>
  <si>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</si>
  <si>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</si>
  <si>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</si>
  <si>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</si>
  <si>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</si>
  <si>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</si>
  <si>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</si>
  <si>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</si>
  <si>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</si>
  <si>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</si>
  <si>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</si>
  <si>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</si>
  <si>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</si>
  <si>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</si>
  <si>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</si>
  <si>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</si>
  <si>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</si>
  <si>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</si>
  <si>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</si>
  <si>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(g) Appreciation in unclaimed balances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</si>
  <si>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</si>
  <si>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</si>
  <si>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</si>
  <si>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</si>
  <si>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</si>
  <si>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 xml:space="preserve">PNB MetLife India Insurance Company Limited </t>
  </si>
  <si>
    <t>Current Tax (Credit)/Charge</t>
  </si>
  <si>
    <t>Provision for current tax</t>
  </si>
  <si>
    <t>Total (E)</t>
  </si>
  <si>
    <t>(c)Others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</si>
  <si>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</si>
  <si>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</si>
  <si>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Sahara India Life Insurance Company Limited (Total 2018-19 &amp; 2017-18)</t>
  </si>
  <si>
    <t>(h) Non Linked</t>
  </si>
  <si>
    <t>€ Transfer/Gain on revaluation/change in fair value</t>
  </si>
  <si>
    <t>Reward/Remuneration to Agent,brokers &amp; other intermediaries</t>
  </si>
  <si>
    <t>Total Commission</t>
  </si>
  <si>
    <t>Pramerica Life Insurance Company Limited</t>
  </si>
  <si>
    <t>Linked</t>
  </si>
  <si>
    <t>Upto Q3 2021</t>
  </si>
  <si>
    <t>Upto Q3 202021</t>
  </si>
  <si>
    <t xml:space="preserve">Others </t>
  </si>
  <si>
    <t>Ageas Federal Life Insurance Company Limited</t>
  </si>
  <si>
    <t>Aegas Federal Life Insurance Company Limited</t>
  </si>
  <si>
    <t>L6:Operating Expenses Schedule Related to Insurance Business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</si>
  <si>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</si>
  <si>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</si>
  <si>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</si>
  <si>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</si>
  <si>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</si>
  <si>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</si>
  <si>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</si>
  <si>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</si>
  <si>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</si>
  <si>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</si>
  <si>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</si>
  <si>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</si>
  <si>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</si>
  <si>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</si>
  <si>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</si>
  <si>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</si>
  <si>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</si>
  <si>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</si>
  <si>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</si>
  <si>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</si>
  <si>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</si>
  <si>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</si>
  <si>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</si>
  <si>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</si>
  <si>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</si>
  <si>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</si>
  <si>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</si>
  <si>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</si>
  <si>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</si>
  <si>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</si>
  <si>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</si>
  <si>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</si>
  <si>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</si>
  <si>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</si>
  <si>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</si>
  <si>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</si>
  <si>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</si>
  <si>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</si>
  <si>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</si>
  <si>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</si>
  <si>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</si>
  <si>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</si>
  <si>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</si>
  <si>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9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</si>
  <si>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</si>
  <si>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9"/>
        <color indexed="8"/>
        <rFont val="Comic Sans MS"/>
        <family val="4"/>
      </rPr>
      <t xml:space="preserve"> L10</t>
    </r>
  </si>
  <si>
    <t>Credit/(Debit) Fair Value Change Account (Net)</t>
  </si>
  <si>
    <t>Deffered Tax Liability</t>
  </si>
  <si>
    <t>Sub-Total</t>
  </si>
  <si>
    <r>
      <t xml:space="preserve">Borrowings </t>
    </r>
    <r>
      <rPr>
        <b/>
        <sz val="9"/>
        <color indexed="8"/>
        <rFont val="Comic Sans MS"/>
        <family val="4"/>
      </rPr>
      <t>L11</t>
    </r>
  </si>
  <si>
    <t>Policyholders' Funds:</t>
  </si>
  <si>
    <t>Revaluation Reserve-Investment Property</t>
  </si>
  <si>
    <t>Policy Liabilities</t>
  </si>
  <si>
    <t>Surplus on Policy Holder's  A/c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</si>
  <si>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</si>
  <si>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</si>
  <si>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</si>
  <si>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</si>
  <si>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</si>
  <si>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</si>
  <si>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</si>
  <si>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</si>
  <si>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</si>
  <si>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</si>
  <si>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</si>
  <si>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</si>
  <si>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</si>
  <si>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</si>
  <si>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</si>
  <si>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</si>
  <si>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9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</si>
  <si>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9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</si>
  <si>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9"/>
        <color indexed="8"/>
        <rFont val="Comic Sans MS"/>
        <family val="4"/>
      </rPr>
      <t>L14</t>
    </r>
  </si>
  <si>
    <r>
      <t>Loans</t>
    </r>
    <r>
      <rPr>
        <b/>
        <sz val="9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</si>
  <si>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9"/>
        <color indexed="8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</si>
  <si>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</si>
  <si>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</si>
  <si>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9"/>
        <color indexed="8"/>
        <rFont val="Comic Sans MS"/>
        <family val="4"/>
      </rPr>
      <t>L17</t>
    </r>
  </si>
  <si>
    <t>Advances And Other Assets L18</t>
  </si>
  <si>
    <t>Sub-Total (A)</t>
  </si>
  <si>
    <r>
      <t xml:space="preserve">Current Liabilities </t>
    </r>
    <r>
      <rPr>
        <b/>
        <sz val="9"/>
        <color indexed="8"/>
        <rFont val="Comic Sans MS"/>
        <family val="4"/>
      </rPr>
      <t>L19</t>
    </r>
  </si>
  <si>
    <r>
      <t xml:space="preserve">Provisions </t>
    </r>
    <r>
      <rPr>
        <b/>
        <sz val="9"/>
        <color indexed="8"/>
        <rFont val="Comic Sans MS"/>
        <family val="4"/>
      </rPr>
      <t>L20</t>
    </r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</si>
  <si>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</si>
  <si>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</si>
  <si>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</si>
  <si>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</si>
  <si>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</si>
  <si>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</si>
  <si>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</si>
  <si>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</si>
  <si>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</si>
  <si>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</si>
  <si>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</si>
  <si>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</si>
  <si>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</si>
  <si>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</si>
  <si>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 xml:space="preserve"> Pramerica Life Insurance Company Limited</t>
  </si>
  <si>
    <t xml:space="preserve">Aegas Federal Life Insurance Company Limited </t>
  </si>
  <si>
    <t>(Face Value per share)</t>
  </si>
  <si>
    <t>Upto Q3 202122</t>
  </si>
  <si>
    <r>
      <rPr>
        <b/>
        <sz val="8"/>
        <color indexed="8"/>
        <rFont val="Comic Sans MS"/>
        <family val="4"/>
      </rPr>
      <t>(a)</t>
    </r>
    <r>
      <rPr>
        <sz val="8"/>
        <color indexed="8"/>
        <rFont val="Comic Sans MS"/>
        <family val="4"/>
      </rPr>
      <t xml:space="preserve"> Online (Through Company)</t>
    </r>
  </si>
  <si>
    <r>
      <rPr>
        <b/>
        <sz val="8"/>
        <color indexed="8"/>
        <rFont val="Comic Sans MS"/>
        <family val="4"/>
      </rPr>
      <t>(b)</t>
    </r>
    <r>
      <rPr>
        <sz val="8"/>
        <color indexed="8"/>
        <rFont val="Comic Sans MS"/>
        <family val="4"/>
      </rPr>
      <t>Others</t>
    </r>
  </si>
  <si>
    <r>
      <rPr>
        <b/>
        <sz val="9"/>
        <color indexed="8"/>
        <rFont val="Comic Sans MS"/>
        <family val="4"/>
      </rPr>
      <t>(a)</t>
    </r>
    <r>
      <rPr>
        <sz val="9"/>
        <color indexed="8"/>
        <rFont val="Comic Sans MS"/>
        <family val="4"/>
      </rPr>
      <t xml:space="preserve"> Online (Through Company)</t>
    </r>
  </si>
  <si>
    <r>
      <rPr>
        <b/>
        <sz val="9"/>
        <color indexed="8"/>
        <rFont val="Comic Sans MS"/>
        <family val="4"/>
      </rPr>
      <t>(b)</t>
    </r>
    <r>
      <rPr>
        <sz val="9"/>
        <color indexed="8"/>
        <rFont val="Comic Sans MS"/>
        <family val="4"/>
      </rPr>
      <t>Others</t>
    </r>
  </si>
  <si>
    <t>(in Lakh)</t>
  </si>
  <si>
    <t>Upto Q3 2122</t>
  </si>
  <si>
    <t>AS at 31.12.2021</t>
  </si>
  <si>
    <t>Form L-10-Reserves and Surplus Schedule(Amount in Lakhs)</t>
  </si>
  <si>
    <t>(in Lakhs)</t>
  </si>
  <si>
    <t>Audited as at 31st Dec 2021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</si>
  <si>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</si>
  <si>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</si>
  <si>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</si>
  <si>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</si>
  <si>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</si>
  <si>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</si>
  <si>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</si>
  <si>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</si>
  <si>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</si>
  <si>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Provision for Doubtful Debts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</si>
  <si>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</si>
  <si>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</si>
  <si>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</si>
  <si>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</si>
  <si>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</si>
  <si>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</si>
  <si>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</si>
  <si>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</si>
  <si>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</si>
  <si>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</si>
  <si>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</si>
  <si>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Provision for Standard Loans</t>
  </si>
  <si>
    <t>(b)  Non - standard loans less provisions</t>
  </si>
  <si>
    <t xml:space="preserve">        (bb)  Outside India</t>
  </si>
  <si>
    <t>Provision for Non Standard Loans</t>
  </si>
  <si>
    <t>MATURITY - WISE CLASSIFICATION</t>
  </si>
  <si>
    <t>(a)  Short Term</t>
  </si>
  <si>
    <t xml:space="preserve">        In India</t>
  </si>
  <si>
    <t xml:space="preserve">        Outside India</t>
  </si>
  <si>
    <t>Provision for Short Term</t>
  </si>
  <si>
    <t>(b)  Long Term</t>
  </si>
  <si>
    <t>Provision for Long Term</t>
  </si>
  <si>
    <t>(Amount in 'Lakh)</t>
  </si>
  <si>
    <t>Form L-11 -Borrowings Schedule  (Amount in 'Lakh')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</si>
  <si>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</si>
  <si>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</si>
  <si>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</si>
  <si>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</si>
  <si>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</si>
  <si>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</si>
  <si>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Excess in  Policyholders' funds </t>
  </si>
  <si>
    <t xml:space="preserve">Available Assets in Shareholders Fund: </t>
  </si>
  <si>
    <t>Other Liabilities of shareholders' fund</t>
  </si>
  <si>
    <t xml:space="preserve">Excess in Shareholders' funds </t>
  </si>
  <si>
    <t>Total ASM (04)+(07)</t>
  </si>
  <si>
    <t>Total RSM</t>
  </si>
  <si>
    <t>Solvency Ratio (ASM/RSM)</t>
  </si>
  <si>
    <t>Adjusted Value Dec 2020/2021 In Lakhs</t>
  </si>
  <si>
    <t>Form L-15-Loans Schedule  (` in Lakh)</t>
  </si>
  <si>
    <t>L3-Balance Sheet Figures in Lakhs</t>
  </si>
  <si>
    <t>Figures in Lakhs</t>
  </si>
  <si>
    <t>L1:REVENUE ACCOUNT Figures in Lakhs</t>
  </si>
  <si>
    <t>Upto Q3 202223</t>
  </si>
  <si>
    <t>Audited as at 31st Dec 2022</t>
  </si>
  <si>
    <t>Upto Q3 2223</t>
  </si>
  <si>
    <t>AS at 31.12.2022</t>
  </si>
  <si>
    <t>Adjusted Value Dec 2022</t>
  </si>
  <si>
    <t>(b) Interim/Final dividend paid during the period/Profit balance of Exide Life Insurance Company as on October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</si>
</sst>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5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b/>
      <sz val="9"/>
      <color indexed="8"/>
      <name val="Comic Sans MS"/>
      <family val="4"/>
    </font>
    <font>
      <sz val="9"/>
      <color indexed="8"/>
      <name val="Comic Sans MS"/>
      <family val="4"/>
    </font>
    <font>
      <sz val="8"/>
      <color indexed="8"/>
      <name val="Comic Sans MS"/>
      <family val="4"/>
    </font>
    <font>
      <b/>
      <sz val="8"/>
      <color indexed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i/>
      <sz val="9"/>
      <color theme="1"/>
      <name val="Comic Sans MS"/>
      <family val="4"/>
    </font>
    <font>
      <sz val="9"/>
      <color rgb="FF0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8"/>
      <color rgb="FF000000"/>
      <name val="Comic Sans MS"/>
      <family val="4"/>
    </font>
    <font>
      <b/>
      <sz val="10"/>
      <color theme="1"/>
      <name val="Comic Sans MS"/>
      <family val="4"/>
    </font>
    <font>
      <b/>
      <sz val="9"/>
      <color rgb="FF000000"/>
      <name val="Comic Sans MS"/>
      <family val="4"/>
    </font>
    <font>
      <b/>
      <sz val="8"/>
      <color theme="1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0"/>
      <color theme="8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9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rgb="FF000000"/>
      <name val="Comic Sans MS"/>
      <family val="4"/>
    </font>
    <font>
      <b/>
      <sz val="10"/>
      <color rgb="FF000000"/>
      <name val="Comic Sans MS"/>
      <family val="4"/>
    </font>
    <font>
      <b/>
      <sz val="11"/>
      <color theme="8"/>
      <name val="Comic Sans MS"/>
      <family val="4"/>
    </font>
    <font>
      <i/>
      <sz val="8"/>
      <color rgb="FF000000"/>
      <name val="Comic Sans MS"/>
      <family val="4"/>
    </font>
    <font>
      <b/>
      <sz val="11"/>
      <color rgb="FF00B0F0"/>
      <name val="Comic Sans MS"/>
      <family val="4"/>
    </font>
    <font>
      <b/>
      <sz val="9"/>
      <color rgb="FF00B0F0"/>
      <name val="Comic Sans MS"/>
      <family val="4"/>
    </font>
    <font>
      <b/>
      <sz val="11"/>
      <color theme="1"/>
      <name val="Comic Sans MS"/>
      <family val="4"/>
    </font>
    <font>
      <b/>
      <i/>
      <sz val="9"/>
      <color theme="8"/>
      <name val="Comic Sans MS"/>
      <family val="4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170">
    <xf numFmtId="0" fontId="0" fillId="0" borderId="0" xfId="0"/>
    <xf numFmtId="2" fontId="16" fillId="0" borderId="1" xfId="0" applyNumberFormat="1" applyFont="1" applyBorder="1" applyAlignment="1">
      <alignment horizontal="left"/>
    </xf>
    <xf numFmtId="2" fontId="16" fillId="0" borderId="2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1" fontId="16" fillId="0" borderId="2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left" vertical="center"/>
    </xf>
    <xf numFmtId="1" fontId="17" fillId="0" borderId="4" xfId="0" applyNumberFormat="1" applyFont="1" applyBorder="1" applyAlignment="1">
      <alignment horizontal="left" vertical="center"/>
    </xf>
    <xf numFmtId="1" fontId="16" fillId="0" borderId="2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2" fontId="16" fillId="0" borderId="4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left"/>
    </xf>
    <xf numFmtId="1" fontId="16" fillId="0" borderId="3" xfId="0" applyNumberFormat="1" applyFont="1" applyBorder="1" applyAlignment="1">
      <alignment horizontal="left"/>
    </xf>
    <xf numFmtId="1" fontId="16" fillId="0" borderId="4" xfId="1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2" fontId="17" fillId="0" borderId="4" xfId="0" applyNumberFormat="1" applyFont="1" applyBorder="1" applyAlignment="1">
      <alignment horizontal="left"/>
    </xf>
    <xf numFmtId="1" fontId="17" fillId="0" borderId="4" xfId="0" applyNumberFormat="1" applyFont="1" applyBorder="1" applyAlignment="1">
      <alignment horizontal="left"/>
    </xf>
    <xf numFmtId="1" fontId="16" fillId="0" borderId="0" xfId="0" applyNumberFormat="1" applyFont="1" applyAlignment="1">
      <alignment horizontal="left"/>
    </xf>
    <xf numFmtId="2" fontId="16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6" xfId="0" applyFont="1" applyBorder="1" applyAlignment="1">
      <alignment horizontal="left"/>
    </xf>
    <xf numFmtId="1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/>
    </xf>
    <xf numFmtId="1" fontId="16" fillId="0" borderId="5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left"/>
    </xf>
    <xf numFmtId="1" fontId="16" fillId="0" borderId="7" xfId="0" applyNumberFormat="1" applyFont="1" applyBorder="1" applyAlignment="1">
      <alignment horizontal="left"/>
    </xf>
    <xf numFmtId="2" fontId="16" fillId="0" borderId="8" xfId="0" applyNumberFormat="1" applyFont="1" applyBorder="1" applyAlignment="1">
      <alignment horizontal="left"/>
    </xf>
    <xf numFmtId="1" fontId="16" fillId="0" borderId="7" xfId="2" applyNumberFormat="1" applyFont="1" applyBorder="1" applyAlignment="1">
      <alignment horizontal="left"/>
    </xf>
    <xf numFmtId="1" fontId="16" fillId="0" borderId="8" xfId="1" applyNumberFormat="1" applyFont="1" applyBorder="1" applyAlignment="1">
      <alignment horizontal="left"/>
    </xf>
    <xf numFmtId="1" fontId="16" fillId="0" borderId="5" xfId="1" applyNumberFormat="1" applyFont="1" applyBorder="1" applyAlignment="1">
      <alignment horizontal="left"/>
    </xf>
    <xf numFmtId="1" fontId="17" fillId="0" borderId="10" xfId="0" applyNumberFormat="1" applyFont="1" applyBorder="1" applyAlignment="1">
      <alignment horizontal="left"/>
    </xf>
    <xf numFmtId="2" fontId="16" fillId="0" borderId="0" xfId="0" applyNumberFormat="1" applyFont="1" applyAlignment="1">
      <alignment horizontal="left"/>
    </xf>
    <xf numFmtId="1" fontId="16" fillId="0" borderId="1" xfId="0" applyNumberFormat="1" applyFont="1" applyBorder="1" applyAlignment="1">
      <alignment horizontal="left" vertical="center"/>
    </xf>
    <xf numFmtId="1" fontId="16" fillId="0" borderId="1" xfId="2" applyNumberFormat="1" applyFont="1" applyBorder="1" applyAlignment="1">
      <alignment horizontal="left"/>
    </xf>
    <xf numFmtId="1" fontId="17" fillId="0" borderId="11" xfId="0" applyNumberFormat="1" applyFont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2" fontId="21" fillId="0" borderId="1" xfId="0" applyNumberFormat="1" applyFont="1" applyBorder="1" applyAlignment="1">
      <alignment horizontal="left"/>
    </xf>
    <xf numFmtId="2" fontId="21" fillId="0" borderId="2" xfId="0" applyNumberFormat="1" applyFont="1" applyBorder="1" applyAlignment="1">
      <alignment horizontal="left"/>
    </xf>
    <xf numFmtId="2" fontId="21" fillId="0" borderId="13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2" fontId="21" fillId="0" borderId="4" xfId="0" applyNumberFormat="1" applyFont="1" applyBorder="1" applyAlignment="1">
      <alignment horizontal="left"/>
    </xf>
    <xf numFmtId="165" fontId="22" fillId="0" borderId="2" xfId="0" applyNumberFormat="1" applyFont="1" applyBorder="1" applyAlignment="1">
      <alignment horizontal="left"/>
    </xf>
    <xf numFmtId="2" fontId="21" fillId="0" borderId="2" xfId="1" applyNumberFormat="1" applyFont="1" applyBorder="1" applyAlignment="1">
      <alignment horizontal="left"/>
    </xf>
    <xf numFmtId="2" fontId="23" fillId="0" borderId="4" xfId="0" applyNumberFormat="1" applyFont="1" applyBorder="1" applyAlignment="1">
      <alignment horizontal="left"/>
    </xf>
    <xf numFmtId="2" fontId="21" fillId="0" borderId="1" xfId="1" applyNumberFormat="1" applyFont="1" applyBorder="1" applyAlignment="1">
      <alignment horizontal="left"/>
    </xf>
    <xf numFmtId="2" fontId="23" fillId="0" borderId="1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 vertical="center"/>
    </xf>
    <xf numFmtId="2" fontId="20" fillId="0" borderId="0" xfId="0" applyNumberFormat="1" applyFont="1" applyAlignment="1">
      <alignment horizontal="left"/>
    </xf>
    <xf numFmtId="2" fontId="17" fillId="0" borderId="1" xfId="2" applyNumberFormat="1" applyFont="1" applyBorder="1" applyAlignment="1">
      <alignment horizontal="left"/>
    </xf>
    <xf numFmtId="2" fontId="17" fillId="0" borderId="2" xfId="2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0" fontId="17" fillId="0" borderId="0" xfId="0" applyFont="1"/>
    <xf numFmtId="0" fontId="25" fillId="0" borderId="0" xfId="0" applyFont="1" applyAlignment="1">
      <alignment horizontal="left"/>
    </xf>
    <xf numFmtId="2" fontId="17" fillId="0" borderId="4" xfId="0" applyNumberFormat="1" applyFont="1" applyBorder="1" applyAlignment="1">
      <alignment horizontal="left" vertical="center"/>
    </xf>
    <xf numFmtId="2" fontId="17" fillId="0" borderId="3" xfId="0" applyNumberFormat="1" applyFont="1" applyBorder="1" applyAlignment="1">
      <alignment horizontal="left" vertical="center"/>
    </xf>
    <xf numFmtId="2" fontId="17" fillId="0" borderId="13" xfId="0" applyNumberFormat="1" applyFont="1" applyBorder="1" applyAlignment="1">
      <alignment horizontal="left"/>
    </xf>
    <xf numFmtId="2" fontId="17" fillId="0" borderId="1" xfId="1" applyNumberFormat="1" applyFont="1" applyBorder="1" applyAlignment="1">
      <alignment horizontal="left"/>
    </xf>
    <xf numFmtId="2" fontId="17" fillId="0" borderId="2" xfId="1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 wrapText="1"/>
    </xf>
    <xf numFmtId="0" fontId="24" fillId="0" borderId="14" xfId="0" applyFont="1" applyBorder="1" applyAlignment="1">
      <alignment horizontal="left"/>
    </xf>
    <xf numFmtId="0" fontId="20" fillId="0" borderId="0" xfId="0" applyFont="1"/>
    <xf numFmtId="0" fontId="22" fillId="0" borderId="15" xfId="0" applyFont="1" applyBorder="1" applyAlignment="1">
      <alignment horizontal="left"/>
    </xf>
    <xf numFmtId="1" fontId="25" fillId="0" borderId="1" xfId="0" applyNumberFormat="1" applyFont="1" applyBorder="1" applyAlignment="1">
      <alignment horizontal="left" vertical="center"/>
    </xf>
    <xf numFmtId="0" fontId="26" fillId="0" borderId="3" xfId="0" applyFont="1" applyBorder="1" applyAlignment="1">
      <alignment horizontal="left"/>
    </xf>
    <xf numFmtId="0" fontId="26" fillId="0" borderId="0" xfId="0" applyFont="1" applyAlignment="1">
      <alignment horizontal="left"/>
    </xf>
    <xf numFmtId="2" fontId="26" fillId="0" borderId="3" xfId="0" applyNumberFormat="1" applyFont="1" applyBorder="1" applyAlignment="1">
      <alignment horizontal="left"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3" xfId="0" applyNumberFormat="1" applyFont="1" applyBorder="1" applyAlignment="1">
      <alignment horizontal="left"/>
    </xf>
    <xf numFmtId="2" fontId="26" fillId="0" borderId="13" xfId="0" applyNumberFormat="1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1" fontId="26" fillId="0" borderId="2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2" fontId="26" fillId="0" borderId="1" xfId="2" applyNumberFormat="1" applyFont="1" applyBorder="1" applyAlignment="1">
      <alignment horizontal="left"/>
    </xf>
    <xf numFmtId="2" fontId="26" fillId="0" borderId="3" xfId="2" applyNumberFormat="1" applyFont="1" applyBorder="1" applyAlignment="1">
      <alignment horizontal="left"/>
    </xf>
    <xf numFmtId="2" fontId="26" fillId="0" borderId="1" xfId="0" applyNumberFormat="1" applyFont="1" applyBorder="1" applyAlignment="1">
      <alignment horizontal="left" wrapText="1"/>
    </xf>
    <xf numFmtId="2" fontId="26" fillId="0" borderId="2" xfId="1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16" xfId="0" applyNumberFormat="1" applyFont="1" applyBorder="1" applyAlignment="1">
      <alignment horizontal="left"/>
    </xf>
    <xf numFmtId="1" fontId="26" fillId="0" borderId="2" xfId="0" applyNumberFormat="1" applyFont="1" applyBorder="1" applyAlignment="1">
      <alignment horizontal="left" vertical="center"/>
    </xf>
    <xf numFmtId="1" fontId="26" fillId="0" borderId="3" xfId="0" applyNumberFormat="1" applyFont="1" applyBorder="1" applyAlignment="1">
      <alignment horizontal="left" vertical="center"/>
    </xf>
    <xf numFmtId="1" fontId="26" fillId="0" borderId="13" xfId="0" applyNumberFormat="1" applyFont="1" applyBorder="1" applyAlignment="1">
      <alignment horizontal="left"/>
    </xf>
    <xf numFmtId="1" fontId="26" fillId="0" borderId="0" xfId="0" applyNumberFormat="1" applyFont="1" applyAlignment="1">
      <alignment horizontal="left"/>
    </xf>
    <xf numFmtId="1" fontId="26" fillId="0" borderId="17" xfId="0" applyNumberFormat="1" applyFont="1" applyBorder="1" applyAlignment="1">
      <alignment horizontal="left"/>
    </xf>
    <xf numFmtId="1" fontId="26" fillId="0" borderId="6" xfId="0" applyNumberFormat="1" applyFont="1" applyBorder="1" applyAlignment="1">
      <alignment horizontal="left"/>
    </xf>
    <xf numFmtId="1" fontId="26" fillId="0" borderId="2" xfId="2" applyNumberFormat="1" applyFont="1" applyBorder="1" applyAlignment="1">
      <alignment horizontal="left"/>
    </xf>
    <xf numFmtId="1" fontId="26" fillId="0" borderId="3" xfId="2" applyNumberFormat="1" applyFont="1" applyBorder="1" applyAlignment="1">
      <alignment horizontal="left"/>
    </xf>
    <xf numFmtId="1" fontId="26" fillId="0" borderId="1" xfId="1" applyNumberFormat="1" applyFont="1" applyBorder="1" applyAlignment="1">
      <alignment horizontal="left"/>
    </xf>
    <xf numFmtId="1" fontId="26" fillId="0" borderId="2" xfId="1" applyNumberFormat="1" applyFont="1" applyBorder="1" applyAlignment="1">
      <alignment horizontal="left"/>
    </xf>
    <xf numFmtId="1" fontId="26" fillId="0" borderId="3" xfId="1" applyNumberFormat="1" applyFont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1" fontId="25" fillId="0" borderId="15" xfId="0" applyNumberFormat="1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1" fontId="25" fillId="0" borderId="4" xfId="0" applyNumberFormat="1" applyFont="1" applyBorder="1" applyAlignment="1">
      <alignment horizontal="left" vertical="center"/>
    </xf>
    <xf numFmtId="1" fontId="25" fillId="0" borderId="2" xfId="0" applyNumberFormat="1" applyFont="1" applyBorder="1" applyAlignment="1">
      <alignment horizontal="left"/>
    </xf>
    <xf numFmtId="1" fontId="25" fillId="0" borderId="13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left"/>
    </xf>
    <xf numFmtId="2" fontId="26" fillId="0" borderId="1" xfId="0" applyNumberFormat="1" applyFont="1" applyBorder="1" applyAlignment="1">
      <alignment horizontal="left" vertical="center"/>
    </xf>
    <xf numFmtId="2" fontId="26" fillId="0" borderId="4" xfId="0" applyNumberFormat="1" applyFont="1" applyBorder="1" applyAlignment="1">
      <alignment horizontal="left"/>
    </xf>
    <xf numFmtId="1" fontId="26" fillId="0" borderId="4" xfId="0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/>
    </xf>
    <xf numFmtId="1" fontId="25" fillId="0" borderId="18" xfId="0" applyNumberFormat="1" applyFont="1" applyBorder="1" applyAlignment="1">
      <alignment horizontal="left"/>
    </xf>
    <xf numFmtId="1" fontId="25" fillId="0" borderId="16" xfId="0" applyNumberFormat="1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2" fontId="25" fillId="0" borderId="1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26" fillId="0" borderId="19" xfId="0" applyNumberFormat="1" applyFont="1" applyBorder="1" applyAlignment="1">
      <alignment horizontal="left" vertical="center"/>
    </xf>
    <xf numFmtId="2" fontId="26" fillId="0" borderId="20" xfId="0" applyNumberFormat="1" applyFont="1" applyBorder="1" applyAlignment="1">
      <alignment horizontal="left"/>
    </xf>
    <xf numFmtId="1" fontId="26" fillId="0" borderId="20" xfId="0" applyNumberFormat="1" applyFont="1" applyBorder="1" applyAlignment="1">
      <alignment horizontal="left"/>
    </xf>
    <xf numFmtId="1" fontId="26" fillId="0" borderId="21" xfId="0" applyNumberFormat="1" applyFont="1" applyBorder="1" applyAlignment="1">
      <alignment horizontal="left"/>
    </xf>
    <xf numFmtId="2" fontId="26" fillId="0" borderId="19" xfId="0" applyNumberFormat="1" applyFont="1" applyBorder="1" applyAlignment="1">
      <alignment horizontal="left"/>
    </xf>
    <xf numFmtId="1" fontId="26" fillId="0" borderId="19" xfId="0" applyNumberFormat="1" applyFont="1" applyBorder="1" applyAlignment="1">
      <alignment horizontal="left"/>
    </xf>
    <xf numFmtId="2" fontId="26" fillId="0" borderId="19" xfId="2" applyNumberFormat="1" applyFont="1" applyBorder="1" applyAlignment="1">
      <alignment horizontal="left"/>
    </xf>
    <xf numFmtId="1" fontId="26" fillId="0" borderId="19" xfId="1" applyNumberFormat="1" applyFont="1" applyBorder="1" applyAlignment="1">
      <alignment horizontal="left"/>
    </xf>
    <xf numFmtId="1" fontId="26" fillId="0" borderId="21" xfId="1" applyNumberFormat="1" applyFont="1" applyBorder="1" applyAlignment="1">
      <alignment horizontal="left"/>
    </xf>
    <xf numFmtId="1" fontId="25" fillId="0" borderId="19" xfId="0" applyNumberFormat="1" applyFont="1" applyBorder="1" applyAlignment="1">
      <alignment horizontal="left"/>
    </xf>
    <xf numFmtId="1" fontId="25" fillId="0" borderId="20" xfId="0" applyNumberFormat="1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24" xfId="0" applyFont="1" applyBorder="1" applyAlignment="1">
      <alignment horizontal="left"/>
    </xf>
    <xf numFmtId="1" fontId="26" fillId="0" borderId="24" xfId="0" applyNumberFormat="1" applyFont="1" applyBorder="1" applyAlignment="1">
      <alignment horizontal="left"/>
    </xf>
    <xf numFmtId="1" fontId="26" fillId="0" borderId="23" xfId="0" applyNumberFormat="1" applyFont="1" applyBorder="1" applyAlignment="1">
      <alignment horizontal="left"/>
    </xf>
    <xf numFmtId="1" fontId="26" fillId="0" borderId="22" xfId="0" applyNumberFormat="1" applyFont="1" applyBorder="1" applyAlignment="1">
      <alignment horizontal="left"/>
    </xf>
    <xf numFmtId="1" fontId="25" fillId="0" borderId="25" xfId="0" applyNumberFormat="1" applyFont="1" applyBorder="1" applyAlignment="1">
      <alignment horizontal="left"/>
    </xf>
    <xf numFmtId="1" fontId="25" fillId="0" borderId="26" xfId="0" applyNumberFormat="1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27" fillId="0" borderId="27" xfId="0" applyFont="1" applyBorder="1" applyAlignment="1">
      <alignment horizontal="left"/>
    </xf>
    <xf numFmtId="0" fontId="15" fillId="0" borderId="0" xfId="0" applyFont="1"/>
    <xf numFmtId="0" fontId="27" fillId="0" borderId="28" xfId="0" applyFont="1" applyBorder="1" applyAlignment="1">
      <alignment horizontal="left"/>
    </xf>
    <xf numFmtId="0" fontId="25" fillId="0" borderId="7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1" fontId="25" fillId="0" borderId="9" xfId="0" applyNumberFormat="1" applyFont="1" applyBorder="1" applyAlignment="1">
      <alignment horizontal="left" vertical="center"/>
    </xf>
    <xf numFmtId="1" fontId="25" fillId="0" borderId="8" xfId="0" applyNumberFormat="1" applyFont="1" applyBorder="1" applyAlignment="1">
      <alignment horizontal="left" vertical="center"/>
    </xf>
    <xf numFmtId="1" fontId="25" fillId="0" borderId="5" xfId="0" applyNumberFormat="1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1" fontId="25" fillId="0" borderId="7" xfId="0" applyNumberFormat="1" applyFont="1" applyBorder="1" applyAlignment="1">
      <alignment horizontal="left" vertical="center"/>
    </xf>
    <xf numFmtId="1" fontId="25" fillId="0" borderId="29" xfId="0" applyNumberFormat="1" applyFont="1" applyBorder="1" applyAlignment="1">
      <alignment horizontal="left" vertical="center"/>
    </xf>
    <xf numFmtId="1" fontId="26" fillId="0" borderId="9" xfId="0" applyNumberFormat="1" applyFont="1" applyBorder="1" applyAlignment="1">
      <alignment horizontal="left"/>
    </xf>
    <xf numFmtId="1" fontId="26" fillId="0" borderId="0" xfId="0" applyNumberFormat="1" applyFont="1"/>
    <xf numFmtId="1" fontId="22" fillId="0" borderId="13" xfId="0" applyNumberFormat="1" applyFont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1" fontId="21" fillId="0" borderId="20" xfId="0" applyNumberFormat="1" applyFont="1" applyBorder="1" applyAlignment="1">
      <alignment horizontal="left"/>
    </xf>
    <xf numFmtId="1" fontId="16" fillId="0" borderId="1" xfId="1" applyNumberFormat="1" applyFont="1" applyBorder="1" applyAlignment="1">
      <alignment horizontal="left"/>
    </xf>
    <xf numFmtId="2" fontId="16" fillId="0" borderId="13" xfId="0" applyNumberFormat="1" applyFont="1" applyBorder="1" applyAlignment="1">
      <alignment horizontal="left"/>
    </xf>
    <xf numFmtId="2" fontId="16" fillId="0" borderId="1" xfId="2" applyNumberFormat="1" applyFont="1" applyBorder="1" applyAlignment="1">
      <alignment horizontal="left"/>
    </xf>
    <xf numFmtId="1" fontId="16" fillId="0" borderId="0" xfId="0" applyNumberFormat="1" applyFont="1"/>
    <xf numFmtId="1" fontId="16" fillId="0" borderId="30" xfId="0" applyNumberFormat="1" applyFont="1" applyBorder="1" applyAlignment="1">
      <alignment horizontal="left"/>
    </xf>
    <xf numFmtId="0" fontId="25" fillId="0" borderId="31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1" fontId="22" fillId="0" borderId="2" xfId="0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0" fontId="26" fillId="0" borderId="34" xfId="0" applyFont="1" applyBorder="1" applyAlignment="1">
      <alignment horizontal="left"/>
    </xf>
    <xf numFmtId="2" fontId="16" fillId="0" borderId="4" xfId="0" applyNumberFormat="1" applyFont="1" applyBorder="1" applyAlignment="1">
      <alignment horizontal="left" vertical="center"/>
    </xf>
    <xf numFmtId="0" fontId="22" fillId="0" borderId="35" xfId="0" applyFont="1" applyBorder="1" applyAlignment="1">
      <alignment horizontal="left"/>
    </xf>
    <xf numFmtId="2" fontId="23" fillId="0" borderId="15" xfId="0" applyNumberFormat="1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2" fontId="21" fillId="0" borderId="19" xfId="0" applyNumberFormat="1" applyFont="1" applyBorder="1" applyAlignment="1">
      <alignment horizontal="left"/>
    </xf>
    <xf numFmtId="2" fontId="21" fillId="0" borderId="21" xfId="0" applyNumberFormat="1" applyFont="1" applyBorder="1" applyAlignment="1">
      <alignment horizontal="left"/>
    </xf>
    <xf numFmtId="2" fontId="21" fillId="0" borderId="36" xfId="0" applyNumberFormat="1" applyFont="1" applyBorder="1" applyAlignment="1">
      <alignment horizontal="left"/>
    </xf>
    <xf numFmtId="2" fontId="21" fillId="0" borderId="20" xfId="0" applyNumberFormat="1" applyFont="1" applyBorder="1" applyAlignment="1">
      <alignment horizontal="left"/>
    </xf>
    <xf numFmtId="2" fontId="21" fillId="0" borderId="21" xfId="1" applyNumberFormat="1" applyFont="1" applyBorder="1" applyAlignment="1">
      <alignment horizontal="left"/>
    </xf>
    <xf numFmtId="2" fontId="21" fillId="0" borderId="19" xfId="1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2" fontId="23" fillId="0" borderId="27" xfId="0" applyNumberFormat="1" applyFont="1" applyBorder="1" applyAlignment="1">
      <alignment horizontal="left"/>
    </xf>
    <xf numFmtId="2" fontId="21" fillId="0" borderId="37" xfId="0" applyNumberFormat="1" applyFont="1" applyBorder="1" applyAlignment="1">
      <alignment horizontal="left"/>
    </xf>
    <xf numFmtId="2" fontId="21" fillId="0" borderId="38" xfId="0" applyNumberFormat="1" applyFont="1" applyBorder="1" applyAlignment="1">
      <alignment horizontal="left"/>
    </xf>
    <xf numFmtId="2" fontId="21" fillId="0" borderId="39" xfId="0" applyNumberFormat="1" applyFont="1" applyBorder="1" applyAlignment="1">
      <alignment horizontal="left"/>
    </xf>
    <xf numFmtId="2" fontId="21" fillId="0" borderId="40" xfId="0" applyNumberFormat="1" applyFont="1" applyBorder="1" applyAlignment="1">
      <alignment horizontal="left"/>
    </xf>
    <xf numFmtId="2" fontId="21" fillId="0" borderId="38" xfId="1" applyNumberFormat="1" applyFont="1" applyBorder="1" applyAlignment="1">
      <alignment horizontal="left"/>
    </xf>
    <xf numFmtId="2" fontId="21" fillId="0" borderId="37" xfId="1" applyNumberFormat="1" applyFont="1" applyBorder="1" applyAlignment="1">
      <alignment horizontal="left"/>
    </xf>
    <xf numFmtId="2" fontId="23" fillId="0" borderId="37" xfId="0" applyNumberFormat="1" applyFont="1" applyBorder="1" applyAlignment="1">
      <alignment horizontal="left"/>
    </xf>
    <xf numFmtId="2" fontId="23" fillId="0" borderId="41" xfId="0" applyNumberFormat="1" applyFont="1" applyBorder="1" applyAlignment="1">
      <alignment horizontal="left"/>
    </xf>
    <xf numFmtId="2" fontId="16" fillId="0" borderId="20" xfId="0" applyNumberFormat="1" applyFont="1" applyBorder="1" applyAlignment="1">
      <alignment horizontal="left" vertical="center"/>
    </xf>
    <xf numFmtId="2" fontId="16" fillId="0" borderId="19" xfId="0" applyNumberFormat="1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2" fontId="16" fillId="0" borderId="20" xfId="0" applyNumberFormat="1" applyFont="1" applyBorder="1" applyAlignment="1">
      <alignment horizontal="left"/>
    </xf>
    <xf numFmtId="2" fontId="16" fillId="0" borderId="21" xfId="0" applyNumberFormat="1" applyFont="1" applyBorder="1" applyAlignment="1">
      <alignment horizontal="left"/>
    </xf>
    <xf numFmtId="165" fontId="22" fillId="0" borderId="21" xfId="0" applyNumberFormat="1" applyFont="1" applyBorder="1" applyAlignment="1">
      <alignment horizontal="left"/>
    </xf>
    <xf numFmtId="0" fontId="26" fillId="0" borderId="41" xfId="0" applyFont="1" applyBorder="1" applyAlignment="1">
      <alignment horizontal="left"/>
    </xf>
    <xf numFmtId="2" fontId="17" fillId="0" borderId="40" xfId="0" applyNumberFormat="1" applyFont="1" applyBorder="1" applyAlignment="1">
      <alignment horizontal="left" vertical="center"/>
    </xf>
    <xf numFmtId="2" fontId="17" fillId="0" borderId="38" xfId="0" applyNumberFormat="1" applyFont="1" applyBorder="1" applyAlignment="1">
      <alignment horizontal="left" vertical="center"/>
    </xf>
    <xf numFmtId="2" fontId="17" fillId="0" borderId="37" xfId="0" applyNumberFormat="1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2" fontId="17" fillId="0" borderId="38" xfId="0" applyNumberFormat="1" applyFont="1" applyBorder="1" applyAlignment="1">
      <alignment horizontal="left"/>
    </xf>
    <xf numFmtId="0" fontId="26" fillId="0" borderId="38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 vertical="top" wrapText="1"/>
    </xf>
    <xf numFmtId="1" fontId="4" fillId="0" borderId="42" xfId="0" applyNumberFormat="1" applyFont="1" applyBorder="1" applyAlignment="1">
      <alignment horizontal="left" vertical="top" wrapText="1"/>
    </xf>
    <xf numFmtId="2" fontId="17" fillId="0" borderId="31" xfId="0" applyNumberFormat="1" applyFont="1" applyBorder="1" applyAlignment="1">
      <alignment horizontal="left"/>
    </xf>
    <xf numFmtId="2" fontId="17" fillId="0" borderId="32" xfId="0" applyNumberFormat="1" applyFont="1" applyBorder="1" applyAlignment="1">
      <alignment horizontal="left"/>
    </xf>
    <xf numFmtId="2" fontId="16" fillId="0" borderId="33" xfId="0" applyNumberFormat="1" applyFont="1" applyBorder="1" applyAlignment="1">
      <alignment horizontal="left"/>
    </xf>
    <xf numFmtId="2" fontId="16" fillId="0" borderId="1" xfId="1" applyNumberFormat="1" applyFont="1" applyBorder="1" applyAlignment="1">
      <alignment horizontal="left"/>
    </xf>
    <xf numFmtId="2" fontId="16" fillId="0" borderId="12" xfId="1" applyNumberFormat="1" applyFont="1" applyBorder="1" applyAlignment="1">
      <alignment horizontal="left"/>
    </xf>
    <xf numFmtId="2" fontId="17" fillId="0" borderId="7" xfId="0" applyNumberFormat="1" applyFont="1" applyBorder="1" applyAlignment="1">
      <alignment horizontal="left" vertical="center"/>
    </xf>
    <xf numFmtId="2" fontId="17" fillId="0" borderId="9" xfId="0" applyNumberFormat="1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1" fontId="16" fillId="0" borderId="6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 vertical="center"/>
    </xf>
    <xf numFmtId="2" fontId="19" fillId="0" borderId="35" xfId="0" applyNumberFormat="1" applyFont="1" applyBorder="1" applyAlignment="1">
      <alignment horizontal="left" vertical="center" wrapText="1"/>
    </xf>
    <xf numFmtId="2" fontId="16" fillId="0" borderId="3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7" fillId="0" borderId="7" xfId="0" applyNumberFormat="1" applyFont="1" applyBorder="1" applyAlignment="1">
      <alignment horizontal="left"/>
    </xf>
    <xf numFmtId="1" fontId="16" fillId="0" borderId="7" xfId="1" applyNumberFormat="1" applyFont="1" applyBorder="1" applyAlignment="1">
      <alignment horizontal="left"/>
    </xf>
    <xf numFmtId="2" fontId="16" fillId="0" borderId="31" xfId="0" applyNumberFormat="1" applyFont="1" applyBorder="1" applyAlignment="1">
      <alignment horizontal="left" wrapText="1"/>
    </xf>
    <xf numFmtId="2" fontId="16" fillId="0" borderId="1" xfId="0" applyNumberFormat="1" applyFont="1" applyBorder="1" applyAlignment="1">
      <alignment horizontal="left" wrapText="1"/>
    </xf>
    <xf numFmtId="1" fontId="24" fillId="0" borderId="14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2" fontId="16" fillId="0" borderId="8" xfId="0" applyNumberFormat="1" applyFont="1" applyBorder="1" applyAlignment="1">
      <alignment horizontal="left" vertical="center"/>
    </xf>
    <xf numFmtId="2" fontId="16" fillId="0" borderId="5" xfId="0" applyNumberFormat="1" applyFont="1" applyBorder="1" applyAlignment="1">
      <alignment horizontal="left" vertical="center"/>
    </xf>
    <xf numFmtId="2" fontId="21" fillId="0" borderId="7" xfId="0" applyNumberFormat="1" applyFont="1" applyBorder="1" applyAlignment="1">
      <alignment horizontal="left"/>
    </xf>
    <xf numFmtId="2" fontId="21" fillId="0" borderId="5" xfId="0" applyNumberFormat="1" applyFont="1" applyBorder="1" applyAlignment="1">
      <alignment horizontal="left"/>
    </xf>
    <xf numFmtId="2" fontId="21" fillId="0" borderId="29" xfId="0" applyNumberFormat="1" applyFont="1" applyBorder="1" applyAlignment="1">
      <alignment horizontal="left"/>
    </xf>
    <xf numFmtId="2" fontId="21" fillId="0" borderId="8" xfId="0" applyNumberFormat="1" applyFont="1" applyBorder="1" applyAlignment="1">
      <alignment horizontal="left"/>
    </xf>
    <xf numFmtId="2" fontId="16" fillId="0" borderId="7" xfId="0" applyNumberFormat="1" applyFont="1" applyBorder="1" applyAlignment="1">
      <alignment horizontal="left"/>
    </xf>
    <xf numFmtId="165" fontId="22" fillId="0" borderId="5" xfId="0" applyNumberFormat="1" applyFont="1" applyBorder="1" applyAlignment="1">
      <alignment horizontal="left"/>
    </xf>
    <xf numFmtId="2" fontId="21" fillId="0" borderId="5" xfId="1" applyNumberFormat="1" applyFont="1" applyBorder="1" applyAlignment="1">
      <alignment horizontal="left"/>
    </xf>
    <xf numFmtId="2" fontId="21" fillId="0" borderId="7" xfId="1" applyNumberFormat="1" applyFont="1" applyBorder="1" applyAlignment="1">
      <alignment horizontal="left"/>
    </xf>
    <xf numFmtId="2" fontId="23" fillId="0" borderId="7" xfId="0" applyNumberFormat="1" applyFont="1" applyBorder="1" applyAlignment="1">
      <alignment horizontal="left"/>
    </xf>
    <xf numFmtId="2" fontId="23" fillId="0" borderId="28" xfId="0" applyNumberFormat="1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1" fontId="25" fillId="0" borderId="45" xfId="0" applyNumberFormat="1" applyFont="1" applyBorder="1" applyAlignment="1">
      <alignment horizontal="left"/>
    </xf>
    <xf numFmtId="1" fontId="25" fillId="0" borderId="43" xfId="0" applyNumberFormat="1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22" fillId="0" borderId="46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1" fontId="22" fillId="0" borderId="29" xfId="0" applyNumberFormat="1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5" fillId="0" borderId="10" xfId="0" applyFont="1" applyBorder="1" applyAlignment="1">
      <alignment horizontal="left" vertical="center"/>
    </xf>
    <xf numFmtId="0" fontId="26" fillId="0" borderId="9" xfId="0" applyFont="1" applyBorder="1" applyAlignment="1">
      <alignment horizontal="left"/>
    </xf>
    <xf numFmtId="1" fontId="26" fillId="0" borderId="1" xfId="0" applyNumberFormat="1" applyFont="1" applyBorder="1" applyAlignment="1">
      <alignment horizontal="left" vertical="center"/>
    </xf>
    <xf numFmtId="2" fontId="26" fillId="0" borderId="4" xfId="1" applyNumberFormat="1" applyFont="1" applyBorder="1" applyAlignment="1">
      <alignment horizontal="left"/>
    </xf>
    <xf numFmtId="1" fontId="26" fillId="0" borderId="4" xfId="1" applyNumberFormat="1" applyFont="1" applyBorder="1" applyAlignment="1">
      <alignment horizontal="left"/>
    </xf>
    <xf numFmtId="0" fontId="28" fillId="0" borderId="14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2" fontId="28" fillId="0" borderId="1" xfId="0" applyNumberFormat="1" applyFont="1" applyBorder="1" applyAlignment="1">
      <alignment horizontal="left" vertical="center"/>
    </xf>
    <xf numFmtId="2" fontId="28" fillId="0" borderId="4" xfId="0" applyNumberFormat="1" applyFont="1" applyBorder="1" applyAlignment="1">
      <alignment horizontal="left" vertical="center"/>
    </xf>
    <xf numFmtId="2" fontId="28" fillId="0" borderId="16" xfId="0" applyNumberFormat="1" applyFont="1" applyBorder="1" applyAlignment="1">
      <alignment horizontal="left" vertical="center"/>
    </xf>
    <xf numFmtId="2" fontId="28" fillId="0" borderId="18" xfId="0" applyNumberFormat="1" applyFont="1" applyBorder="1" applyAlignment="1">
      <alignment horizontal="left" vertical="center"/>
    </xf>
    <xf numFmtId="2" fontId="28" fillId="0" borderId="2" xfId="0" applyNumberFormat="1" applyFont="1" applyBorder="1" applyAlignment="1">
      <alignment horizontal="left" vertical="center"/>
    </xf>
    <xf numFmtId="2" fontId="28" fillId="0" borderId="3" xfId="0" applyNumberFormat="1" applyFont="1" applyBorder="1" applyAlignment="1">
      <alignment horizontal="left" vertical="center"/>
    </xf>
    <xf numFmtId="2" fontId="28" fillId="0" borderId="7" xfId="0" applyNumberFormat="1" applyFont="1" applyBorder="1" applyAlignment="1">
      <alignment horizontal="left" vertical="center"/>
    </xf>
    <xf numFmtId="2" fontId="28" fillId="0" borderId="1" xfId="1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0" fillId="0" borderId="41" xfId="0" applyFont="1" applyBorder="1" applyAlignment="1">
      <alignment horizontal="left"/>
    </xf>
    <xf numFmtId="2" fontId="28" fillId="0" borderId="40" xfId="0" applyNumberFormat="1" applyFont="1" applyBorder="1" applyAlignment="1">
      <alignment horizontal="left" vertical="center"/>
    </xf>
    <xf numFmtId="2" fontId="28" fillId="0" borderId="47" xfId="0" applyNumberFormat="1" applyFont="1" applyBorder="1" applyAlignment="1">
      <alignment horizontal="left" vertical="center"/>
    </xf>
    <xf numFmtId="2" fontId="28" fillId="0" borderId="37" xfId="0" applyNumberFormat="1" applyFont="1" applyBorder="1" applyAlignment="1">
      <alignment horizontal="left" vertical="center"/>
    </xf>
    <xf numFmtId="2" fontId="28" fillId="0" borderId="48" xfId="0" applyNumberFormat="1" applyFont="1" applyBorder="1" applyAlignment="1">
      <alignment horizontal="left" vertical="center"/>
    </xf>
    <xf numFmtId="2" fontId="32" fillId="0" borderId="37" xfId="1" applyNumberFormat="1" applyFont="1" applyBorder="1" applyAlignment="1">
      <alignment horizontal="left"/>
    </xf>
    <xf numFmtId="2" fontId="32" fillId="0" borderId="37" xfId="0" applyNumberFormat="1" applyFont="1" applyBorder="1" applyAlignment="1">
      <alignment horizontal="left"/>
    </xf>
    <xf numFmtId="2" fontId="32" fillId="0" borderId="41" xfId="0" applyNumberFormat="1" applyFont="1" applyBorder="1" applyAlignment="1">
      <alignment horizontal="left"/>
    </xf>
    <xf numFmtId="0" fontId="33" fillId="0" borderId="0" xfId="0" applyFont="1" applyAlignment="1">
      <alignment horizontal="left"/>
    </xf>
    <xf numFmtId="0" fontId="30" fillId="0" borderId="49" xfId="0" applyFont="1" applyBorder="1" applyAlignment="1">
      <alignment horizontal="left"/>
    </xf>
    <xf numFmtId="2" fontId="28" fillId="0" borderId="50" xfId="0" applyNumberFormat="1" applyFont="1" applyBorder="1" applyAlignment="1">
      <alignment horizontal="left" vertical="center"/>
    </xf>
    <xf numFmtId="2" fontId="28" fillId="0" borderId="51" xfId="0" applyNumberFormat="1" applyFont="1" applyBorder="1" applyAlignment="1">
      <alignment horizontal="left" vertical="center"/>
    </xf>
    <xf numFmtId="2" fontId="28" fillId="0" borderId="52" xfId="0" applyNumberFormat="1" applyFont="1" applyBorder="1" applyAlignment="1">
      <alignment horizontal="left" vertical="center"/>
    </xf>
    <xf numFmtId="2" fontId="28" fillId="0" borderId="53" xfId="0" applyNumberFormat="1" applyFont="1" applyBorder="1" applyAlignment="1">
      <alignment horizontal="left" vertical="center"/>
    </xf>
    <xf numFmtId="2" fontId="32" fillId="0" borderId="52" xfId="0" applyNumberFormat="1" applyFont="1" applyBorder="1" applyAlignment="1">
      <alignment horizontal="left"/>
    </xf>
    <xf numFmtId="2" fontId="32" fillId="0" borderId="49" xfId="0" applyNumberFormat="1" applyFont="1" applyBorder="1" applyAlignment="1">
      <alignment horizontal="left"/>
    </xf>
    <xf numFmtId="0" fontId="16" fillId="0" borderId="0" xfId="0" applyFont="1"/>
    <xf numFmtId="0" fontId="19" fillId="0" borderId="15" xfId="0" applyFont="1" applyBorder="1" applyAlignment="1">
      <alignment horizontal="left"/>
    </xf>
    <xf numFmtId="0" fontId="20" fillId="0" borderId="15" xfId="0" applyFont="1" applyBorder="1"/>
    <xf numFmtId="0" fontId="21" fillId="0" borderId="0" xfId="0" applyFont="1"/>
    <xf numFmtId="2" fontId="21" fillId="0" borderId="15" xfId="0" applyNumberFormat="1" applyFont="1" applyBorder="1" applyAlignment="1">
      <alignment vertical="center"/>
    </xf>
    <xf numFmtId="2" fontId="23" fillId="0" borderId="15" xfId="0" applyNumberFormat="1" applyFont="1" applyBorder="1" applyAlignment="1">
      <alignment vertical="center"/>
    </xf>
    <xf numFmtId="2" fontId="21" fillId="0" borderId="16" xfId="0" applyNumberFormat="1" applyFont="1" applyBorder="1" applyAlignment="1">
      <alignment horizontal="right"/>
    </xf>
    <xf numFmtId="2" fontId="23" fillId="0" borderId="16" xfId="0" applyNumberFormat="1" applyFont="1" applyBorder="1" applyAlignment="1">
      <alignment horizontal="right"/>
    </xf>
    <xf numFmtId="0" fontId="27" fillId="0" borderId="46" xfId="0" applyFont="1" applyBorder="1" applyAlignment="1">
      <alignment horizontal="left"/>
    </xf>
    <xf numFmtId="0" fontId="27" fillId="0" borderId="57" xfId="0" applyFont="1" applyBorder="1" applyAlignment="1">
      <alignment horizontal="left"/>
    </xf>
    <xf numFmtId="0" fontId="23" fillId="0" borderId="10" xfId="0" applyFont="1" applyBorder="1" applyAlignment="1">
      <alignment horizontal="center" vertical="center"/>
    </xf>
    <xf numFmtId="0" fontId="20" fillId="0" borderId="57" xfId="0" applyFont="1" applyBorder="1"/>
    <xf numFmtId="0" fontId="20" fillId="0" borderId="46" xfId="0" applyFont="1" applyBorder="1"/>
    <xf numFmtId="0" fontId="23" fillId="0" borderId="28" xfId="0" applyFont="1" applyBorder="1" applyAlignment="1">
      <alignment horizontal="center" vertical="center"/>
    </xf>
    <xf numFmtId="2" fontId="21" fillId="0" borderId="15" xfId="0" applyNumberFormat="1" applyFont="1" applyBorder="1" applyAlignment="1">
      <alignment horizontal="right"/>
    </xf>
    <xf numFmtId="2" fontId="23" fillId="0" borderId="15" xfId="0" applyNumberFormat="1" applyFont="1" applyBorder="1" applyAlignment="1">
      <alignment horizontal="right"/>
    </xf>
    <xf numFmtId="0" fontId="17" fillId="0" borderId="10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right"/>
    </xf>
    <xf numFmtId="2" fontId="17" fillId="0" borderId="16" xfId="0" applyNumberFormat="1" applyFont="1" applyBorder="1" applyAlignment="1">
      <alignment horizontal="right"/>
    </xf>
    <xf numFmtId="0" fontId="16" fillId="0" borderId="17" xfId="0" applyFont="1" applyBorder="1" applyAlignment="1">
      <alignment horizontal="left"/>
    </xf>
    <xf numFmtId="2" fontId="16" fillId="0" borderId="16" xfId="0" applyNumberFormat="1" applyFont="1" applyBorder="1" applyAlignment="1">
      <alignment horizontal="left"/>
    </xf>
    <xf numFmtId="2" fontId="17" fillId="0" borderId="16" xfId="0" applyNumberFormat="1" applyFont="1" applyBorder="1" applyAlignment="1">
      <alignment horizontal="left"/>
    </xf>
    <xf numFmtId="2" fontId="26" fillId="0" borderId="16" xfId="0" applyNumberFormat="1" applyFont="1" applyBorder="1" applyAlignment="1">
      <alignment horizontal="left"/>
    </xf>
    <xf numFmtId="2" fontId="21" fillId="0" borderId="16" xfId="2" applyNumberFormat="1" applyFont="1" applyBorder="1" applyAlignment="1">
      <alignment horizontal="right"/>
    </xf>
    <xf numFmtId="2" fontId="21" fillId="0" borderId="16" xfId="1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 wrapText="1"/>
    </xf>
    <xf numFmtId="1" fontId="34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" fontId="17" fillId="0" borderId="8" xfId="0" applyNumberFormat="1" applyFont="1" applyBorder="1" applyAlignment="1">
      <alignment horizontal="left" vertical="center"/>
    </xf>
    <xf numFmtId="1" fontId="17" fillId="0" borderId="5" xfId="0" applyNumberFormat="1" applyFont="1" applyBorder="1" applyAlignment="1">
      <alignment horizontal="left" vertical="center"/>
    </xf>
    <xf numFmtId="1" fontId="17" fillId="0" borderId="9" xfId="0" applyNumberFormat="1" applyFont="1" applyBorder="1" applyAlignment="1">
      <alignment horizontal="left" vertical="center"/>
    </xf>
    <xf numFmtId="1" fontId="17" fillId="0" borderId="7" xfId="0" applyNumberFormat="1" applyFont="1" applyBorder="1" applyAlignment="1">
      <alignment horizontal="left" vertical="center"/>
    </xf>
    <xf numFmtId="1" fontId="17" fillId="0" borderId="28" xfId="0" applyNumberFormat="1" applyFont="1" applyBorder="1" applyAlignment="1">
      <alignment horizontal="left" vertical="center"/>
    </xf>
    <xf numFmtId="0" fontId="35" fillId="0" borderId="58" xfId="0" applyFont="1" applyBorder="1" applyAlignment="1">
      <alignment horizontal="left"/>
    </xf>
    <xf numFmtId="0" fontId="35" fillId="0" borderId="51" xfId="0" applyFont="1" applyBorder="1" applyAlignment="1">
      <alignment horizontal="left"/>
    </xf>
    <xf numFmtId="0" fontId="35" fillId="0" borderId="53" xfId="0" applyFont="1" applyBorder="1" applyAlignment="1">
      <alignment horizontal="left"/>
    </xf>
    <xf numFmtId="0" fontId="35" fillId="0" borderId="24" xfId="0" applyFont="1" applyBorder="1" applyAlignment="1">
      <alignment horizontal="left"/>
    </xf>
    <xf numFmtId="0" fontId="36" fillId="0" borderId="0" xfId="0" applyFont="1"/>
    <xf numFmtId="0" fontId="37" fillId="0" borderId="0" xfId="0" applyFont="1"/>
    <xf numFmtId="0" fontId="38" fillId="0" borderId="42" xfId="0" applyFont="1" applyBorder="1" applyAlignment="1">
      <alignment horizontal="left"/>
    </xf>
    <xf numFmtId="1" fontId="38" fillId="0" borderId="12" xfId="0" applyNumberFormat="1" applyFont="1" applyBorder="1" applyAlignment="1">
      <alignment horizontal="left" vertical="center"/>
    </xf>
    <xf numFmtId="1" fontId="38" fillId="0" borderId="30" xfId="0" applyNumberFormat="1" applyFont="1" applyBorder="1" applyAlignment="1">
      <alignment horizontal="left" vertical="center"/>
    </xf>
    <xf numFmtId="1" fontId="38" fillId="0" borderId="59" xfId="0" applyNumberFormat="1" applyFont="1" applyBorder="1" applyAlignment="1">
      <alignment horizontal="left" vertical="center"/>
    </xf>
    <xf numFmtId="1" fontId="38" fillId="0" borderId="60" xfId="0" applyNumberFormat="1" applyFont="1" applyBorder="1" applyAlignment="1">
      <alignment horizontal="left" vertical="center"/>
    </xf>
    <xf numFmtId="1" fontId="38" fillId="0" borderId="61" xfId="0" applyNumberFormat="1" applyFont="1" applyBorder="1" applyAlignment="1">
      <alignment horizontal="left" vertical="center"/>
    </xf>
    <xf numFmtId="1" fontId="38" fillId="0" borderId="59" xfId="0" applyNumberFormat="1" applyFont="1" applyBorder="1" applyAlignment="1">
      <alignment horizontal="left"/>
    </xf>
    <xf numFmtId="1" fontId="38" fillId="0" borderId="12" xfId="0" applyNumberFormat="1" applyFont="1" applyBorder="1" applyAlignment="1">
      <alignment horizontal="left"/>
    </xf>
    <xf numFmtId="1" fontId="38" fillId="0" borderId="42" xfId="0" applyNumberFormat="1" applyFont="1" applyBorder="1" applyAlignment="1">
      <alignment horizontal="left"/>
    </xf>
    <xf numFmtId="2" fontId="38" fillId="0" borderId="59" xfId="0" applyNumberFormat="1" applyFont="1" applyBorder="1" applyAlignment="1">
      <alignment horizontal="left"/>
    </xf>
    <xf numFmtId="1" fontId="38" fillId="0" borderId="59" xfId="1" applyNumberFormat="1" applyFont="1" applyBorder="1" applyAlignment="1">
      <alignment horizontal="left"/>
    </xf>
    <xf numFmtId="1" fontId="38" fillId="0" borderId="12" xfId="1" applyNumberFormat="1" applyFont="1" applyBorder="1" applyAlignment="1">
      <alignment horizontal="left"/>
    </xf>
    <xf numFmtId="1" fontId="38" fillId="0" borderId="11" xfId="1" applyNumberFormat="1" applyFont="1" applyBorder="1" applyAlignment="1">
      <alignment horizontal="left"/>
    </xf>
    <xf numFmtId="1" fontId="38" fillId="0" borderId="30" xfId="1" applyNumberFormat="1" applyFont="1" applyBorder="1" applyAlignment="1">
      <alignment horizontal="left"/>
    </xf>
    <xf numFmtId="0" fontId="38" fillId="0" borderId="0" xfId="0" applyFont="1" applyAlignment="1">
      <alignment horizontal="left"/>
    </xf>
    <xf numFmtId="1" fontId="39" fillId="0" borderId="0" xfId="0" applyNumberFormat="1" applyFont="1"/>
    <xf numFmtId="1" fontId="26" fillId="0" borderId="1" xfId="0" applyNumberFormat="1" applyFont="1" applyBorder="1" applyAlignment="1">
      <alignment horizontal="left" wrapText="1"/>
    </xf>
    <xf numFmtId="1" fontId="25" fillId="0" borderId="46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left"/>
    </xf>
    <xf numFmtId="1" fontId="25" fillId="0" borderId="1" xfId="1" applyNumberFormat="1" applyFont="1" applyBorder="1" applyAlignment="1">
      <alignment horizontal="left"/>
    </xf>
    <xf numFmtId="1" fontId="25" fillId="0" borderId="0" xfId="0" applyNumberFormat="1" applyFont="1" applyAlignment="1">
      <alignment horizontal="left"/>
    </xf>
    <xf numFmtId="1" fontId="25" fillId="0" borderId="15" xfId="0" applyNumberFormat="1" applyFont="1" applyBorder="1" applyAlignment="1">
      <alignment horizontal="left" vertical="center"/>
    </xf>
    <xf numFmtId="1" fontId="26" fillId="0" borderId="19" xfId="0" applyNumberFormat="1" applyFont="1" applyBorder="1" applyAlignment="1">
      <alignment horizontal="left" vertical="center"/>
    </xf>
    <xf numFmtId="1" fontId="26" fillId="0" borderId="19" xfId="0" applyNumberFormat="1" applyFont="1" applyBorder="1" applyAlignment="1">
      <alignment horizontal="left" wrapText="1"/>
    </xf>
    <xf numFmtId="1" fontId="22" fillId="0" borderId="19" xfId="0" applyNumberFormat="1" applyFont="1" applyBorder="1" applyAlignment="1">
      <alignment horizontal="left"/>
    </xf>
    <xf numFmtId="1" fontId="22" fillId="0" borderId="21" xfId="0" applyNumberFormat="1" applyFont="1" applyBorder="1" applyAlignment="1">
      <alignment horizontal="left"/>
    </xf>
    <xf numFmtId="1" fontId="22" fillId="0" borderId="36" xfId="0" applyNumberFormat="1" applyFont="1" applyBorder="1" applyAlignment="1">
      <alignment horizontal="left"/>
    </xf>
    <xf numFmtId="1" fontId="38" fillId="0" borderId="0" xfId="0" applyNumberFormat="1" applyFont="1" applyAlignment="1">
      <alignment horizontal="left"/>
    </xf>
    <xf numFmtId="1" fontId="25" fillId="0" borderId="27" xfId="0" applyNumberFormat="1" applyFont="1" applyBorder="1" applyAlignment="1">
      <alignment horizontal="left"/>
    </xf>
    <xf numFmtId="1" fontId="38" fillId="0" borderId="52" xfId="0" applyNumberFormat="1" applyFont="1" applyBorder="1" applyAlignment="1">
      <alignment horizontal="left" vertical="center"/>
    </xf>
    <xf numFmtId="1" fontId="38" fillId="0" borderId="58" xfId="0" applyNumberFormat="1" applyFont="1" applyBorder="1" applyAlignment="1">
      <alignment horizontal="left" vertical="center"/>
    </xf>
    <xf numFmtId="1" fontId="38" fillId="0" borderId="50" xfId="0" applyNumberFormat="1" applyFont="1" applyBorder="1" applyAlignment="1">
      <alignment horizontal="left" vertical="center"/>
    </xf>
    <xf numFmtId="1" fontId="38" fillId="0" borderId="62" xfId="0" applyNumberFormat="1" applyFont="1" applyBorder="1" applyAlignment="1">
      <alignment horizontal="left"/>
    </xf>
    <xf numFmtId="1" fontId="38" fillId="0" borderId="52" xfId="0" applyNumberFormat="1" applyFont="1" applyBorder="1" applyAlignment="1">
      <alignment horizontal="left"/>
    </xf>
    <xf numFmtId="1" fontId="38" fillId="0" borderId="50" xfId="0" applyNumberFormat="1" applyFont="1" applyBorder="1" applyAlignment="1">
      <alignment horizontal="left"/>
    </xf>
    <xf numFmtId="1" fontId="38" fillId="0" borderId="52" xfId="1" applyNumberFormat="1" applyFont="1" applyBorder="1" applyAlignment="1">
      <alignment horizontal="left"/>
    </xf>
    <xf numFmtId="1" fontId="38" fillId="0" borderId="50" xfId="1" applyNumberFormat="1" applyFont="1" applyBorder="1" applyAlignment="1">
      <alignment horizontal="left"/>
    </xf>
    <xf numFmtId="1" fontId="38" fillId="0" borderId="49" xfId="0" applyNumberFormat="1" applyFont="1" applyBorder="1" applyAlignment="1">
      <alignment horizontal="left"/>
    </xf>
    <xf numFmtId="1" fontId="35" fillId="0" borderId="58" xfId="0" applyNumberFormat="1" applyFont="1" applyBorder="1" applyAlignment="1">
      <alignment horizontal="left"/>
    </xf>
    <xf numFmtId="1" fontId="39" fillId="0" borderId="0" xfId="0" applyNumberFormat="1" applyFont="1" applyAlignment="1">
      <alignment horizontal="left"/>
    </xf>
    <xf numFmtId="0" fontId="38" fillId="0" borderId="49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1" fontId="26" fillId="0" borderId="63" xfId="0" applyNumberFormat="1" applyFont="1" applyBorder="1" applyAlignment="1">
      <alignment horizontal="left"/>
    </xf>
    <xf numFmtId="1" fontId="26" fillId="0" borderId="37" xfId="0" applyNumberFormat="1" applyFont="1" applyBorder="1" applyAlignment="1">
      <alignment horizontal="left"/>
    </xf>
    <xf numFmtId="1" fontId="26" fillId="0" borderId="64" xfId="0" applyNumberFormat="1" applyFont="1" applyBorder="1" applyAlignment="1">
      <alignment horizontal="left"/>
    </xf>
    <xf numFmtId="1" fontId="26" fillId="0" borderId="43" xfId="0" applyNumberFormat="1" applyFont="1" applyBorder="1" applyAlignment="1">
      <alignment horizontal="left"/>
    </xf>
    <xf numFmtId="1" fontId="26" fillId="0" borderId="50" xfId="0" applyNumberFormat="1" applyFont="1" applyBorder="1" applyAlignment="1">
      <alignment horizontal="left"/>
    </xf>
    <xf numFmtId="0" fontId="26" fillId="0" borderId="52" xfId="0" applyFont="1" applyBorder="1" applyAlignment="1">
      <alignment horizontal="left"/>
    </xf>
    <xf numFmtId="2" fontId="26" fillId="0" borderId="45" xfId="0" applyNumberFormat="1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2" fontId="26" fillId="0" borderId="43" xfId="0" applyNumberFormat="1" applyFont="1" applyBorder="1" applyAlignment="1">
      <alignment horizontal="left"/>
    </xf>
    <xf numFmtId="0" fontId="26" fillId="0" borderId="63" xfId="0" applyFont="1" applyBorder="1" applyAlignment="1">
      <alignment horizontal="left"/>
    </xf>
    <xf numFmtId="2" fontId="26" fillId="0" borderId="64" xfId="0" applyNumberFormat="1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2" fontId="16" fillId="0" borderId="36" xfId="0" applyNumberFormat="1" applyFont="1" applyBorder="1" applyAlignment="1">
      <alignment horizontal="left"/>
    </xf>
    <xf numFmtId="2" fontId="16" fillId="0" borderId="7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1" fillId="0" borderId="7" xfId="0" applyNumberFormat="1" applyFont="1" applyBorder="1" applyAlignment="1">
      <alignment horizontal="left" wrapText="1"/>
    </xf>
    <xf numFmtId="2" fontId="21" fillId="0" borderId="1" xfId="0" applyNumberFormat="1" applyFont="1" applyBorder="1" applyAlignment="1">
      <alignment horizontal="left" wrapText="1"/>
    </xf>
    <xf numFmtId="2" fontId="21" fillId="0" borderId="19" xfId="0" applyNumberFormat="1" applyFont="1" applyBorder="1" applyAlignment="1">
      <alignment horizontal="left" wrapText="1"/>
    </xf>
    <xf numFmtId="2" fontId="21" fillId="0" borderId="37" xfId="0" applyNumberFormat="1" applyFont="1" applyBorder="1" applyAlignment="1">
      <alignment horizontal="left" wrapText="1"/>
    </xf>
    <xf numFmtId="1" fontId="16" fillId="0" borderId="19" xfId="0" applyNumberFormat="1" applyFont="1" applyBorder="1" applyAlignment="1">
      <alignment horizontal="left" vertical="center"/>
    </xf>
    <xf numFmtId="1" fontId="16" fillId="0" borderId="21" xfId="0" applyNumberFormat="1" applyFont="1" applyBorder="1" applyAlignment="1">
      <alignment horizontal="left" vertical="center"/>
    </xf>
    <xf numFmtId="1" fontId="16" fillId="0" borderId="20" xfId="0" applyNumberFormat="1" applyFont="1" applyBorder="1" applyAlignment="1">
      <alignment horizontal="left"/>
    </xf>
    <xf numFmtId="1" fontId="16" fillId="0" borderId="21" xfId="0" applyNumberFormat="1" applyFont="1" applyBorder="1" applyAlignment="1">
      <alignment horizontal="left"/>
    </xf>
    <xf numFmtId="1" fontId="16" fillId="0" borderId="65" xfId="0" applyNumberFormat="1" applyFont="1" applyBorder="1" applyAlignment="1">
      <alignment horizontal="left"/>
    </xf>
    <xf numFmtId="1" fontId="16" fillId="0" borderId="19" xfId="0" applyNumberFormat="1" applyFont="1" applyBorder="1" applyAlignment="1">
      <alignment horizontal="left"/>
    </xf>
    <xf numFmtId="2" fontId="16" fillId="0" borderId="19" xfId="0" applyNumberFormat="1" applyFont="1" applyBorder="1" applyAlignment="1">
      <alignment horizontal="left" wrapText="1"/>
    </xf>
    <xf numFmtId="1" fontId="16" fillId="0" borderId="20" xfId="1" applyNumberFormat="1" applyFont="1" applyBorder="1" applyAlignment="1">
      <alignment horizontal="left"/>
    </xf>
    <xf numFmtId="1" fontId="16" fillId="0" borderId="19" xfId="1" applyNumberFormat="1" applyFont="1" applyBorder="1" applyAlignment="1">
      <alignment horizontal="left"/>
    </xf>
    <xf numFmtId="1" fontId="17" fillId="0" borderId="17" xfId="0" applyNumberFormat="1" applyFont="1" applyBorder="1" applyAlignment="1">
      <alignment horizontal="left"/>
    </xf>
    <xf numFmtId="1" fontId="28" fillId="0" borderId="52" xfId="0" applyNumberFormat="1" applyFont="1" applyBorder="1" applyAlignment="1">
      <alignment horizontal="left" vertical="center"/>
    </xf>
    <xf numFmtId="1" fontId="28" fillId="0" borderId="58" xfId="0" applyNumberFormat="1" applyFont="1" applyBorder="1" applyAlignment="1">
      <alignment horizontal="left" vertical="center"/>
    </xf>
    <xf numFmtId="1" fontId="28" fillId="0" borderId="62" xfId="0" applyNumberFormat="1" applyFont="1" applyBorder="1" applyAlignment="1">
      <alignment horizontal="left" vertical="center"/>
    </xf>
    <xf numFmtId="1" fontId="28" fillId="0" borderId="63" xfId="0" applyNumberFormat="1" applyFont="1" applyBorder="1" applyAlignment="1">
      <alignment horizontal="left" vertical="center"/>
    </xf>
    <xf numFmtId="1" fontId="28" fillId="0" borderId="50" xfId="0" applyNumberFormat="1" applyFont="1" applyBorder="1" applyAlignment="1">
      <alignment horizontal="left" vertical="center"/>
    </xf>
    <xf numFmtId="1" fontId="28" fillId="0" borderId="49" xfId="0" applyNumberFormat="1" applyFont="1" applyBorder="1" applyAlignment="1">
      <alignment horizontal="left" vertical="center"/>
    </xf>
    <xf numFmtId="1" fontId="28" fillId="0" borderId="52" xfId="0" applyNumberFormat="1" applyFont="1" applyBorder="1" applyAlignment="1">
      <alignment horizontal="left"/>
    </xf>
    <xf numFmtId="1" fontId="28" fillId="0" borderId="62" xfId="0" applyNumberFormat="1" applyFont="1" applyBorder="1" applyAlignment="1">
      <alignment horizontal="left"/>
    </xf>
    <xf numFmtId="1" fontId="29" fillId="0" borderId="52" xfId="1" applyNumberFormat="1" applyFont="1" applyBorder="1" applyAlignment="1">
      <alignment horizontal="left"/>
    </xf>
    <xf numFmtId="1" fontId="29" fillId="0" borderId="53" xfId="1" applyNumberFormat="1" applyFont="1" applyBorder="1" applyAlignment="1">
      <alignment horizontal="left"/>
    </xf>
    <xf numFmtId="1" fontId="28" fillId="0" borderId="53" xfId="0" applyNumberFormat="1" applyFont="1" applyBorder="1" applyAlignment="1">
      <alignment horizontal="left"/>
    </xf>
    <xf numFmtId="1" fontId="17" fillId="0" borderId="19" xfId="0" applyNumberFormat="1" applyFont="1" applyBorder="1" applyAlignment="1">
      <alignment horizontal="left" vertical="center"/>
    </xf>
    <xf numFmtId="1" fontId="17" fillId="0" borderId="66" xfId="0" applyNumberFormat="1" applyFont="1" applyBorder="1" applyAlignment="1">
      <alignment horizontal="left" vertical="center"/>
    </xf>
    <xf numFmtId="1" fontId="17" fillId="0" borderId="20" xfId="0" applyNumberFormat="1" applyFont="1" applyBorder="1" applyAlignment="1">
      <alignment horizontal="left"/>
    </xf>
    <xf numFmtId="1" fontId="1" fillId="0" borderId="65" xfId="0" applyNumberFormat="1" applyFont="1" applyBorder="1" applyAlignment="1">
      <alignment horizontal="left"/>
    </xf>
    <xf numFmtId="1" fontId="17" fillId="0" borderId="20" xfId="0" applyNumberFormat="1" applyFont="1" applyBorder="1" applyAlignment="1">
      <alignment horizontal="left" vertical="center"/>
    </xf>
    <xf numFmtId="1" fontId="17" fillId="0" borderId="19" xfId="0" applyNumberFormat="1" applyFont="1" applyBorder="1" applyAlignment="1">
      <alignment horizontal="left"/>
    </xf>
    <xf numFmtId="1" fontId="38" fillId="0" borderId="30" xfId="0" applyNumberFormat="1" applyFont="1" applyBorder="1" applyAlignment="1">
      <alignment horizontal="left"/>
    </xf>
    <xf numFmtId="3" fontId="38" fillId="0" borderId="30" xfId="0" applyNumberFormat="1" applyFont="1" applyBorder="1" applyAlignment="1">
      <alignment horizontal="left"/>
    </xf>
    <xf numFmtId="0" fontId="23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left"/>
    </xf>
    <xf numFmtId="0" fontId="20" fillId="0" borderId="68" xfId="0" applyFont="1" applyBorder="1"/>
    <xf numFmtId="2" fontId="21" fillId="0" borderId="66" xfId="0" applyNumberFormat="1" applyFont="1" applyBorder="1" applyAlignment="1">
      <alignment horizontal="right"/>
    </xf>
    <xf numFmtId="2" fontId="21" fillId="0" borderId="27" xfId="0" applyNumberFormat="1" applyFont="1" applyBorder="1" applyAlignment="1">
      <alignment horizontal="right"/>
    </xf>
    <xf numFmtId="2" fontId="16" fillId="0" borderId="66" xfId="0" applyNumberFormat="1" applyFont="1" applyBorder="1" applyAlignment="1">
      <alignment horizontal="right"/>
    </xf>
    <xf numFmtId="2" fontId="26" fillId="0" borderId="66" xfId="0" applyNumberFormat="1" applyFont="1" applyBorder="1" applyAlignment="1">
      <alignment horizontal="left"/>
    </xf>
    <xf numFmtId="2" fontId="21" fillId="0" borderId="66" xfId="1" applyNumberFormat="1" applyFont="1" applyBorder="1" applyAlignment="1">
      <alignment horizontal="right"/>
    </xf>
    <xf numFmtId="2" fontId="21" fillId="0" borderId="66" xfId="0" applyNumberFormat="1" applyFont="1" applyBorder="1" applyAlignment="1">
      <alignment horizontal="right" wrapText="1"/>
    </xf>
    <xf numFmtId="0" fontId="40" fillId="0" borderId="58" xfId="0" applyFont="1" applyBorder="1" applyAlignment="1">
      <alignment horizontal="center" vertical="center"/>
    </xf>
    <xf numFmtId="1" fontId="24" fillId="0" borderId="9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4" xfId="2" applyNumberFormat="1" applyFont="1" applyBorder="1" applyAlignment="1">
      <alignment horizontal="left"/>
    </xf>
    <xf numFmtId="1" fontId="17" fillId="0" borderId="4" xfId="0" applyNumberFormat="1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1" fontId="17" fillId="0" borderId="29" xfId="0" applyNumberFormat="1" applyFont="1" applyBorder="1" applyAlignment="1">
      <alignment horizontal="left" vertical="center"/>
    </xf>
    <xf numFmtId="0" fontId="28" fillId="0" borderId="49" xfId="0" applyFont="1" applyBorder="1" applyAlignment="1">
      <alignment horizontal="left"/>
    </xf>
    <xf numFmtId="1" fontId="16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45" xfId="0" applyNumberFormat="1" applyFont="1" applyBorder="1" applyAlignment="1">
      <alignment horizontal="left" vertical="center"/>
    </xf>
    <xf numFmtId="1" fontId="1" fillId="0" borderId="44" xfId="0" applyNumberFormat="1" applyFont="1" applyBorder="1" applyAlignment="1">
      <alignment horizontal="left" vertical="center"/>
    </xf>
    <xf numFmtId="1" fontId="4" fillId="0" borderId="43" xfId="0" applyNumberFormat="1" applyFont="1" applyBorder="1" applyAlignment="1">
      <alignment horizontal="left"/>
    </xf>
    <xf numFmtId="1" fontId="4" fillId="0" borderId="44" xfId="0" applyNumberFormat="1" applyFont="1" applyBorder="1" applyAlignment="1">
      <alignment horizontal="left"/>
    </xf>
    <xf numFmtId="1" fontId="4" fillId="0" borderId="64" xfId="0" applyNumberFormat="1" applyFont="1" applyBorder="1" applyAlignment="1">
      <alignment horizontal="left"/>
    </xf>
    <xf numFmtId="1" fontId="4" fillId="0" borderId="45" xfId="0" applyNumberFormat="1" applyFont="1" applyBorder="1" applyAlignment="1">
      <alignment horizontal="left"/>
    </xf>
    <xf numFmtId="1" fontId="1" fillId="0" borderId="43" xfId="0" applyNumberFormat="1" applyFont="1" applyBorder="1" applyAlignment="1">
      <alignment horizontal="left"/>
    </xf>
    <xf numFmtId="1" fontId="1" fillId="0" borderId="44" xfId="0" applyNumberFormat="1" applyFont="1" applyBorder="1" applyAlignment="1">
      <alignment horizontal="left"/>
    </xf>
    <xf numFmtId="1" fontId="1" fillId="0" borderId="64" xfId="0" applyNumberFormat="1" applyFont="1" applyBorder="1" applyAlignment="1">
      <alignment horizontal="left"/>
    </xf>
    <xf numFmtId="1" fontId="1" fillId="0" borderId="45" xfId="0" applyNumberFormat="1" applyFont="1" applyBorder="1" applyAlignment="1">
      <alignment horizontal="left"/>
    </xf>
    <xf numFmtId="2" fontId="4" fillId="0" borderId="45" xfId="0" applyNumberFormat="1" applyFont="1" applyBorder="1" applyAlignment="1">
      <alignment horizontal="left" wrapText="1"/>
    </xf>
    <xf numFmtId="0" fontId="4" fillId="0" borderId="64" xfId="0" applyFont="1" applyBorder="1" applyAlignment="1">
      <alignment horizontal="left"/>
    </xf>
    <xf numFmtId="1" fontId="4" fillId="0" borderId="43" xfId="1" applyNumberFormat="1" applyFont="1" applyBorder="1" applyAlignment="1">
      <alignment horizontal="left"/>
    </xf>
    <xf numFmtId="1" fontId="4" fillId="0" borderId="44" xfId="1" applyNumberFormat="1" applyFont="1" applyBorder="1" applyAlignment="1">
      <alignment horizontal="left"/>
    </xf>
    <xf numFmtId="1" fontId="4" fillId="0" borderId="64" xfId="1" applyNumberFormat="1" applyFont="1" applyBorder="1" applyAlignment="1">
      <alignment horizontal="left"/>
    </xf>
    <xf numFmtId="1" fontId="4" fillId="0" borderId="45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17" fillId="0" borderId="65" xfId="0" applyNumberFormat="1" applyFont="1" applyBorder="1" applyAlignment="1">
      <alignment horizontal="left" vertical="center"/>
    </xf>
    <xf numFmtId="1" fontId="28" fillId="0" borderId="69" xfId="0" applyNumberFormat="1" applyFont="1" applyBorder="1" applyAlignment="1">
      <alignment horizontal="left" vertical="center"/>
    </xf>
    <xf numFmtId="1" fontId="17" fillId="0" borderId="21" xfId="0" applyNumberFormat="1" applyFont="1" applyBorder="1" applyAlignment="1">
      <alignment horizontal="left"/>
    </xf>
    <xf numFmtId="1" fontId="17" fillId="0" borderId="65" xfId="0" applyNumberFormat="1" applyFont="1" applyBorder="1" applyAlignment="1">
      <alignment horizontal="left"/>
    </xf>
    <xf numFmtId="1" fontId="17" fillId="0" borderId="20" xfId="2" applyNumberFormat="1" applyFont="1" applyBorder="1" applyAlignment="1">
      <alignment horizontal="left"/>
    </xf>
    <xf numFmtId="1" fontId="17" fillId="0" borderId="20" xfId="0" applyNumberFormat="1" applyFont="1" applyBorder="1" applyAlignment="1">
      <alignment horizontal="left" wrapText="1"/>
    </xf>
    <xf numFmtId="1" fontId="24" fillId="0" borderId="65" xfId="0" applyNumberFormat="1" applyFont="1" applyBorder="1" applyAlignment="1">
      <alignment horizontal="left"/>
    </xf>
    <xf numFmtId="1" fontId="17" fillId="0" borderId="65" xfId="1" applyNumberFormat="1" applyFont="1" applyBorder="1" applyAlignment="1">
      <alignment horizontal="left"/>
    </xf>
    <xf numFmtId="1" fontId="17" fillId="0" borderId="45" xfId="0" applyNumberFormat="1" applyFont="1" applyBorder="1" applyAlignment="1">
      <alignment horizontal="left" vertical="center"/>
    </xf>
    <xf numFmtId="1" fontId="17" fillId="0" borderId="64" xfId="0" applyNumberFormat="1" applyFont="1" applyBorder="1" applyAlignment="1">
      <alignment horizontal="left" vertical="center"/>
    </xf>
    <xf numFmtId="1" fontId="16" fillId="0" borderId="43" xfId="0" applyNumberFormat="1" applyFont="1" applyBorder="1" applyAlignment="1">
      <alignment horizontal="left"/>
    </xf>
    <xf numFmtId="1" fontId="16" fillId="0" borderId="44" xfId="0" applyNumberFormat="1" applyFont="1" applyBorder="1" applyAlignment="1">
      <alignment horizontal="left"/>
    </xf>
    <xf numFmtId="1" fontId="16" fillId="0" borderId="64" xfId="0" applyNumberFormat="1" applyFont="1" applyBorder="1" applyAlignment="1">
      <alignment horizontal="left"/>
    </xf>
    <xf numFmtId="2" fontId="16" fillId="0" borderId="44" xfId="0" applyNumberFormat="1" applyFont="1" applyBorder="1" applyAlignment="1">
      <alignment horizontal="left"/>
    </xf>
    <xf numFmtId="1" fontId="16" fillId="0" borderId="70" xfId="0" applyNumberFormat="1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2" fontId="16" fillId="0" borderId="43" xfId="0" applyNumberFormat="1" applyFont="1" applyBorder="1" applyAlignment="1">
      <alignment horizontal="left" wrapText="1"/>
    </xf>
    <xf numFmtId="0" fontId="19" fillId="0" borderId="64" xfId="0" applyFont="1" applyBorder="1" applyAlignment="1">
      <alignment horizontal="left"/>
    </xf>
    <xf numFmtId="1" fontId="16" fillId="0" borderId="64" xfId="1" applyNumberFormat="1" applyFont="1" applyBorder="1" applyAlignment="1">
      <alignment horizontal="left"/>
    </xf>
    <xf numFmtId="1" fontId="17" fillId="0" borderId="43" xfId="0" applyNumberFormat="1" applyFont="1" applyBorder="1" applyAlignment="1">
      <alignment horizontal="left" vertical="center"/>
    </xf>
    <xf numFmtId="3" fontId="26" fillId="0" borderId="3" xfId="0" applyNumberFormat="1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3" fontId="22" fillId="0" borderId="1" xfId="0" applyNumberFormat="1" applyFont="1" applyBorder="1" applyAlignment="1">
      <alignment horizontal="left"/>
    </xf>
    <xf numFmtId="165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7" fillId="0" borderId="32" xfId="0" applyFont="1" applyBorder="1" applyAlignment="1">
      <alignment horizontal="left" vertical="center"/>
    </xf>
    <xf numFmtId="2" fontId="21" fillId="0" borderId="15" xfId="1" applyNumberFormat="1" applyFont="1" applyBorder="1" applyAlignment="1">
      <alignment horizontal="right"/>
    </xf>
    <xf numFmtId="1" fontId="19" fillId="0" borderId="46" xfId="0" applyNumberFormat="1" applyFont="1" applyBorder="1" applyAlignment="1">
      <alignment horizontal="left" vertical="center" wrapText="1"/>
    </xf>
    <xf numFmtId="1" fontId="19" fillId="0" borderId="46" xfId="0" applyNumberFormat="1" applyFont="1" applyBorder="1" applyAlignment="1">
      <alignment horizontal="left" vertical="top" wrapText="1"/>
    </xf>
    <xf numFmtId="1" fontId="1" fillId="0" borderId="46" xfId="0" applyNumberFormat="1" applyFont="1" applyBorder="1" applyAlignment="1">
      <alignment horizontal="left" vertical="top" wrapText="1"/>
    </xf>
    <xf numFmtId="1" fontId="4" fillId="0" borderId="46" xfId="0" applyNumberFormat="1" applyFont="1" applyBorder="1" applyAlignment="1">
      <alignment horizontal="left" vertical="top" wrapText="1"/>
    </xf>
    <xf numFmtId="1" fontId="19" fillId="0" borderId="68" xfId="0" applyNumberFormat="1" applyFont="1" applyBorder="1" applyAlignment="1">
      <alignment horizontal="left" vertical="top" wrapText="1"/>
    </xf>
    <xf numFmtId="2" fontId="16" fillId="0" borderId="6" xfId="0" applyNumberFormat="1" applyFont="1" applyBorder="1" applyAlignment="1">
      <alignment horizontal="left"/>
    </xf>
    <xf numFmtId="165" fontId="24" fillId="0" borderId="31" xfId="0" applyNumberFormat="1" applyFont="1" applyBorder="1" applyAlignment="1">
      <alignment horizontal="left"/>
    </xf>
    <xf numFmtId="165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65" fontId="24" fillId="0" borderId="12" xfId="0" applyNumberFormat="1" applyFont="1" applyBorder="1" applyAlignment="1">
      <alignment horizontal="left"/>
    </xf>
    <xf numFmtId="2" fontId="17" fillId="0" borderId="8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1" fontId="17" fillId="0" borderId="13" xfId="0" applyNumberFormat="1" applyFont="1" applyBorder="1" applyAlignment="1">
      <alignment horizontal="left"/>
    </xf>
    <xf numFmtId="1" fontId="16" fillId="0" borderId="45" xfId="0" applyNumberFormat="1" applyFont="1" applyBorder="1" applyAlignment="1">
      <alignment horizontal="left"/>
    </xf>
    <xf numFmtId="1" fontId="17" fillId="0" borderId="36" xfId="0" applyNumberFormat="1" applyFont="1" applyBorder="1" applyAlignment="1">
      <alignment horizontal="left"/>
    </xf>
    <xf numFmtId="2" fontId="16" fillId="0" borderId="70" xfId="0" applyNumberFormat="1" applyFont="1" applyBorder="1" applyAlignment="1">
      <alignment horizontal="left"/>
    </xf>
    <xf numFmtId="2" fontId="16" fillId="0" borderId="45" xfId="0" applyNumberFormat="1" applyFont="1" applyBorder="1" applyAlignment="1">
      <alignment horizontal="left"/>
    </xf>
    <xf numFmtId="165" fontId="22" fillId="0" borderId="7" xfId="0" applyNumberFormat="1" applyFont="1" applyBorder="1" applyAlignment="1">
      <alignment horizontal="left"/>
    </xf>
    <xf numFmtId="165" fontId="22" fillId="0" borderId="19" xfId="0" applyNumberFormat="1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1" fontId="26" fillId="0" borderId="16" xfId="0" applyNumberFormat="1" applyFont="1" applyBorder="1" applyAlignment="1">
      <alignment horizontal="left"/>
    </xf>
    <xf numFmtId="1" fontId="26" fillId="0" borderId="15" xfId="1" applyNumberFormat="1" applyFont="1" applyBorder="1" applyAlignment="1">
      <alignment horizontal="left"/>
    </xf>
    <xf numFmtId="0" fontId="25" fillId="0" borderId="56" xfId="0" applyFont="1" applyBorder="1" applyAlignment="1">
      <alignment horizontal="left" vertical="center"/>
    </xf>
    <xf numFmtId="1" fontId="26" fillId="0" borderId="15" xfId="0" applyNumberFormat="1" applyFont="1" applyBorder="1" applyAlignment="1">
      <alignment horizontal="left"/>
    </xf>
    <xf numFmtId="2" fontId="26" fillId="0" borderId="4" xfId="0" applyNumberFormat="1" applyFont="1" applyBorder="1" applyAlignment="1">
      <alignment horizontal="left" wrapText="1"/>
    </xf>
    <xf numFmtId="2" fontId="26" fillId="0" borderId="3" xfId="1" applyNumberFormat="1" applyFont="1" applyBorder="1" applyAlignment="1">
      <alignment horizontal="left"/>
    </xf>
    <xf numFmtId="1" fontId="41" fillId="0" borderId="68" xfId="0" applyNumberFormat="1" applyFont="1" applyBorder="1" applyAlignment="1">
      <alignment horizontal="left" vertical="top" wrapText="1"/>
    </xf>
    <xf numFmtId="1" fontId="41" fillId="0" borderId="19" xfId="0" applyNumberFormat="1" applyFont="1" applyBorder="1" applyAlignment="1">
      <alignment horizontal="left" vertical="center"/>
    </xf>
    <xf numFmtId="1" fontId="41" fillId="0" borderId="0" xfId="0" applyNumberFormat="1" applyFont="1" applyAlignment="1">
      <alignment horizontal="left"/>
    </xf>
    <xf numFmtId="1" fontId="42" fillId="0" borderId="46" xfId="0" applyNumberFormat="1" applyFont="1" applyBorder="1" applyAlignment="1">
      <alignment horizontal="left" vertical="top" wrapText="1"/>
    </xf>
    <xf numFmtId="1" fontId="41" fillId="0" borderId="1" xfId="0" applyNumberFormat="1" applyFont="1" applyBorder="1" applyAlignment="1">
      <alignment horizontal="left" vertical="center"/>
    </xf>
    <xf numFmtId="1" fontId="41" fillId="0" borderId="15" xfId="0" applyNumberFormat="1" applyFont="1" applyBorder="1" applyAlignment="1">
      <alignment horizontal="left" vertical="center"/>
    </xf>
    <xf numFmtId="1" fontId="42" fillId="0" borderId="0" xfId="0" applyNumberFormat="1" applyFont="1" applyAlignment="1">
      <alignment horizontal="left"/>
    </xf>
    <xf numFmtId="1" fontId="42" fillId="0" borderId="1" xfId="0" applyNumberFormat="1" applyFont="1" applyBorder="1" applyAlignment="1">
      <alignment horizontal="left" vertical="center"/>
    </xf>
    <xf numFmtId="0" fontId="43" fillId="0" borderId="46" xfId="0" applyFont="1" applyBorder="1" applyAlignment="1">
      <alignment horizontal="left"/>
    </xf>
    <xf numFmtId="0" fontId="44" fillId="0" borderId="46" xfId="0" applyFont="1" applyBorder="1"/>
    <xf numFmtId="2" fontId="45" fillId="0" borderId="15" xfId="0" applyNumberFormat="1" applyFont="1" applyBorder="1" applyAlignment="1">
      <alignment vertical="center"/>
    </xf>
    <xf numFmtId="2" fontId="45" fillId="0" borderId="16" xfId="0" applyNumberFormat="1" applyFont="1" applyBorder="1" applyAlignment="1">
      <alignment horizontal="right"/>
    </xf>
    <xf numFmtId="2" fontId="45" fillId="0" borderId="15" xfId="0" applyNumberFormat="1" applyFont="1" applyBorder="1" applyAlignment="1">
      <alignment horizontal="right"/>
    </xf>
    <xf numFmtId="2" fontId="41" fillId="0" borderId="16" xfId="0" applyNumberFormat="1" applyFont="1" applyBorder="1" applyAlignment="1">
      <alignment horizontal="right"/>
    </xf>
    <xf numFmtId="2" fontId="41" fillId="0" borderId="16" xfId="0" applyNumberFormat="1" applyFont="1" applyBorder="1" applyAlignment="1">
      <alignment horizontal="left"/>
    </xf>
    <xf numFmtId="2" fontId="45" fillId="0" borderId="16" xfId="1" applyNumberFormat="1" applyFont="1" applyBorder="1" applyAlignment="1">
      <alignment horizontal="right"/>
    </xf>
    <xf numFmtId="2" fontId="45" fillId="0" borderId="16" xfId="0" applyNumberFormat="1" applyFont="1" applyBorder="1" applyAlignment="1">
      <alignment horizontal="right" wrapText="1"/>
    </xf>
    <xf numFmtId="0" fontId="44" fillId="0" borderId="0" xfId="0" applyFont="1"/>
    <xf numFmtId="0" fontId="43" fillId="0" borderId="58" xfId="0" applyFont="1" applyBorder="1" applyAlignment="1">
      <alignment horizontal="left"/>
    </xf>
    <xf numFmtId="0" fontId="44" fillId="0" borderId="58" xfId="0" applyFont="1" applyBorder="1"/>
    <xf numFmtId="2" fontId="45" fillId="0" borderId="53" xfId="0" applyNumberFormat="1" applyFont="1" applyBorder="1" applyAlignment="1">
      <alignment horizontal="right"/>
    </xf>
    <xf numFmtId="2" fontId="45" fillId="0" borderId="49" xfId="0" applyNumberFormat="1" applyFont="1" applyBorder="1" applyAlignment="1">
      <alignment horizontal="right"/>
    </xf>
    <xf numFmtId="2" fontId="41" fillId="0" borderId="53" xfId="0" applyNumberFormat="1" applyFont="1" applyBorder="1" applyAlignment="1">
      <alignment horizontal="right"/>
    </xf>
    <xf numFmtId="2" fontId="43" fillId="0" borderId="53" xfId="0" applyNumberFormat="1" applyFont="1" applyBorder="1" applyAlignment="1">
      <alignment horizontal="left"/>
    </xf>
    <xf numFmtId="2" fontId="45" fillId="0" borderId="53" xfId="1" applyNumberFormat="1" applyFont="1" applyBorder="1" applyAlignment="1">
      <alignment horizontal="right"/>
    </xf>
    <xf numFmtId="2" fontId="45" fillId="0" borderId="53" xfId="0" applyNumberFormat="1" applyFont="1" applyBorder="1" applyAlignment="1">
      <alignment horizontal="right" wrapText="1"/>
    </xf>
    <xf numFmtId="2" fontId="45" fillId="0" borderId="16" xfId="2" applyNumberFormat="1" applyFont="1" applyBorder="1" applyAlignment="1">
      <alignment horizontal="right"/>
    </xf>
    <xf numFmtId="2" fontId="41" fillId="0" borderId="15" xfId="1" applyNumberFormat="1" applyFont="1" applyBorder="1" applyAlignment="1">
      <alignment horizontal="right"/>
    </xf>
    <xf numFmtId="1" fontId="26" fillId="0" borderId="25" xfId="0" applyNumberFormat="1" applyFont="1" applyBorder="1" applyAlignment="1">
      <alignment horizontal="left"/>
    </xf>
    <xf numFmtId="1" fontId="25" fillId="0" borderId="2" xfId="2" applyNumberFormat="1" applyFont="1" applyBorder="1" applyAlignment="1">
      <alignment horizontal="left"/>
    </xf>
    <xf numFmtId="1" fontId="25" fillId="0" borderId="2" xfId="1" applyNumberFormat="1" applyFont="1" applyBorder="1" applyAlignment="1">
      <alignment horizontal="left"/>
    </xf>
    <xf numFmtId="2" fontId="46" fillId="0" borderId="19" xfId="0" applyNumberFormat="1" applyFont="1" applyBorder="1" applyAlignment="1">
      <alignment horizontal="left" vertical="center"/>
    </xf>
    <xf numFmtId="2" fontId="17" fillId="0" borderId="21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left"/>
    </xf>
    <xf numFmtId="2" fontId="17" fillId="0" borderId="19" xfId="0" applyNumberFormat="1" applyFont="1" applyBorder="1" applyAlignment="1">
      <alignment horizontal="left"/>
    </xf>
    <xf numFmtId="2" fontId="17" fillId="0" borderId="65" xfId="0" applyNumberFormat="1" applyFont="1" applyBorder="1" applyAlignment="1">
      <alignment horizontal="left"/>
    </xf>
    <xf numFmtId="2" fontId="46" fillId="0" borderId="19" xfId="0" applyNumberFormat="1" applyFont="1" applyBorder="1" applyAlignment="1">
      <alignment horizontal="left"/>
    </xf>
    <xf numFmtId="2" fontId="46" fillId="0" borderId="21" xfId="0" applyNumberFormat="1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2" fontId="17" fillId="0" borderId="19" xfId="0" applyNumberFormat="1" applyFont="1" applyBorder="1" applyAlignment="1">
      <alignment horizontal="left" wrapText="1"/>
    </xf>
    <xf numFmtId="2" fontId="17" fillId="0" borderId="19" xfId="1" applyNumberFormat="1" applyFont="1" applyBorder="1" applyAlignment="1">
      <alignment horizontal="left"/>
    </xf>
    <xf numFmtId="2" fontId="17" fillId="0" borderId="21" xfId="1" applyNumberFormat="1" applyFont="1" applyBorder="1" applyAlignment="1">
      <alignment horizontal="left"/>
    </xf>
    <xf numFmtId="2" fontId="17" fillId="0" borderId="43" xfId="0" applyNumberFormat="1" applyFont="1" applyBorder="1" applyAlignment="1">
      <alignment horizontal="left" vertical="center"/>
    </xf>
    <xf numFmtId="2" fontId="17" fillId="0" borderId="19" xfId="0" applyNumberFormat="1" applyFont="1" applyBorder="1" applyAlignment="1">
      <alignment horizontal="left" vertical="center"/>
    </xf>
    <xf numFmtId="2" fontId="17" fillId="0" borderId="65" xfId="0" applyNumberFormat="1" applyFont="1" applyBorder="1" applyAlignment="1">
      <alignment horizontal="left" vertical="center"/>
    </xf>
    <xf numFmtId="2" fontId="28" fillId="0" borderId="62" xfId="0" applyNumberFormat="1" applyFont="1" applyBorder="1" applyAlignment="1">
      <alignment horizontal="left" vertical="center"/>
    </xf>
    <xf numFmtId="2" fontId="28" fillId="0" borderId="63" xfId="0" applyNumberFormat="1" applyFont="1" applyBorder="1" applyAlignment="1">
      <alignment horizontal="left" vertical="center"/>
    </xf>
    <xf numFmtId="2" fontId="17" fillId="0" borderId="50" xfId="0" applyNumberFormat="1" applyFont="1" applyBorder="1" applyAlignment="1">
      <alignment horizontal="left" vertical="center"/>
    </xf>
    <xf numFmtId="2" fontId="28" fillId="0" borderId="52" xfId="1" applyNumberFormat="1" applyFont="1" applyBorder="1" applyAlignment="1">
      <alignment horizontal="left"/>
    </xf>
    <xf numFmtId="1" fontId="16" fillId="0" borderId="13" xfId="0" applyNumberFormat="1" applyFont="1" applyBorder="1" applyAlignment="1">
      <alignment horizontal="left"/>
    </xf>
    <xf numFmtId="2" fontId="16" fillId="0" borderId="72" xfId="0" applyNumberFormat="1" applyFont="1" applyBorder="1" applyAlignment="1">
      <alignment horizontal="left"/>
    </xf>
    <xf numFmtId="2" fontId="16" fillId="0" borderId="31" xfId="1" applyNumberFormat="1" applyFont="1" applyBorder="1" applyAlignment="1">
      <alignment horizontal="left"/>
    </xf>
    <xf numFmtId="1" fontId="42" fillId="0" borderId="13" xfId="0" applyNumberFormat="1" applyFont="1" applyBorder="1" applyAlignment="1">
      <alignment horizontal="left" vertical="center"/>
    </xf>
    <xf numFmtId="1" fontId="41" fillId="0" borderId="13" xfId="0" applyNumberFormat="1" applyFont="1" applyBorder="1" applyAlignment="1">
      <alignment horizontal="left" vertical="center"/>
    </xf>
    <xf numFmtId="1" fontId="16" fillId="0" borderId="73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 wrapText="1"/>
    </xf>
    <xf numFmtId="1" fontId="16" fillId="0" borderId="19" xfId="0" applyNumberFormat="1" applyFont="1" applyBorder="1" applyAlignment="1">
      <alignment horizontal="left" wrapText="1"/>
    </xf>
    <xf numFmtId="1" fontId="16" fillId="0" borderId="12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7" fillId="0" borderId="74" xfId="0" applyNumberFormat="1" applyFont="1" applyBorder="1" applyAlignment="1">
      <alignment horizontal="left" vertical="center"/>
    </xf>
    <xf numFmtId="2" fontId="16" fillId="0" borderId="55" xfId="0" applyNumberFormat="1" applyFont="1" applyBorder="1" applyAlignment="1">
      <alignment horizontal="left"/>
    </xf>
    <xf numFmtId="1" fontId="16" fillId="0" borderId="19" xfId="2" applyNumberFormat="1" applyFont="1" applyBorder="1" applyAlignment="1">
      <alignment horizontal="left"/>
    </xf>
    <xf numFmtId="2" fontId="16" fillId="0" borderId="31" xfId="2" applyNumberFormat="1" applyFont="1" applyBorder="1" applyAlignment="1">
      <alignment horizontal="left"/>
    </xf>
    <xf numFmtId="2" fontId="17" fillId="0" borderId="73" xfId="0" applyNumberFormat="1" applyFont="1" applyBorder="1" applyAlignment="1">
      <alignment horizontal="left"/>
    </xf>
    <xf numFmtId="2" fontId="17" fillId="0" borderId="12" xfId="0" applyNumberFormat="1" applyFont="1" applyBorder="1" applyAlignment="1">
      <alignment horizontal="left"/>
    </xf>
    <xf numFmtId="2" fontId="16" fillId="0" borderId="67" xfId="0" applyNumberFormat="1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2" fontId="17" fillId="0" borderId="30" xfId="0" applyNumberFormat="1" applyFont="1" applyBorder="1" applyAlignment="1">
      <alignment horizontal="left"/>
    </xf>
    <xf numFmtId="2" fontId="28" fillId="0" borderId="25" xfId="0" applyNumberFormat="1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2" fontId="46" fillId="0" borderId="12" xfId="0" applyNumberFormat="1" applyFont="1" applyBorder="1" applyAlignment="1">
      <alignment horizontal="left"/>
    </xf>
    <xf numFmtId="2" fontId="17" fillId="0" borderId="45" xfId="0" applyNumberFormat="1" applyFont="1" applyBorder="1" applyAlignment="1">
      <alignment horizontal="left" vertical="center"/>
    </xf>
    <xf numFmtId="2" fontId="17" fillId="0" borderId="52" xfId="0" applyNumberFormat="1" applyFont="1" applyBorder="1" applyAlignment="1">
      <alignment horizontal="left" vertical="center"/>
    </xf>
    <xf numFmtId="1" fontId="16" fillId="0" borderId="9" xfId="1" applyNumberFormat="1" applyFont="1" applyBorder="1" applyAlignment="1">
      <alignment horizontal="left"/>
    </xf>
    <xf numFmtId="1" fontId="17" fillId="0" borderId="45" xfId="0" applyNumberFormat="1" applyFont="1" applyBorder="1" applyAlignment="1">
      <alignment horizontal="left"/>
    </xf>
    <xf numFmtId="1" fontId="25" fillId="0" borderId="18" xfId="0" applyNumberFormat="1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left" vertical="center"/>
    </xf>
    <xf numFmtId="2" fontId="26" fillId="0" borderId="18" xfId="0" applyNumberFormat="1" applyFont="1" applyBorder="1" applyAlignment="1">
      <alignment horizontal="left"/>
    </xf>
    <xf numFmtId="2" fontId="38" fillId="0" borderId="75" xfId="0" applyNumberFormat="1" applyFont="1" applyBorder="1" applyAlignment="1">
      <alignment horizontal="left"/>
    </xf>
    <xf numFmtId="1" fontId="26" fillId="0" borderId="18" xfId="0" applyNumberFormat="1" applyFont="1" applyBorder="1" applyAlignment="1">
      <alignment horizontal="left"/>
    </xf>
    <xf numFmtId="1" fontId="38" fillId="0" borderId="75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3" fontId="26" fillId="0" borderId="1" xfId="0" applyNumberFormat="1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38" fillId="0" borderId="12" xfId="0" applyNumberFormat="1" applyFont="1" applyBorder="1" applyAlignment="1">
      <alignment horizontal="left"/>
    </xf>
    <xf numFmtId="1" fontId="38" fillId="0" borderId="60" xfId="0" applyNumberFormat="1" applyFont="1" applyBorder="1" applyAlignment="1">
      <alignment horizontal="left"/>
    </xf>
    <xf numFmtId="2" fontId="26" fillId="0" borderId="1" xfId="1" applyNumberFormat="1" applyFont="1" applyBorder="1" applyAlignment="1">
      <alignment horizontal="left"/>
    </xf>
    <xf numFmtId="1" fontId="26" fillId="0" borderId="15" xfId="0" applyNumberFormat="1" applyFont="1" applyBorder="1" applyAlignment="1">
      <alignment horizontal="left" vertical="center"/>
    </xf>
    <xf numFmtId="0" fontId="26" fillId="0" borderId="0" xfId="0" applyFont="1"/>
    <xf numFmtId="1" fontId="3" fillId="0" borderId="1" xfId="0" applyNumberFormat="1" applyFont="1" applyBorder="1" applyAlignment="1">
      <alignment horizontal="left"/>
    </xf>
    <xf numFmtId="1" fontId="26" fillId="0" borderId="1" xfId="2" applyNumberFormat="1" applyFont="1" applyBorder="1" applyAlignment="1">
      <alignment horizontal="left"/>
    </xf>
    <xf numFmtId="1" fontId="26" fillId="0" borderId="19" xfId="2" applyNumberFormat="1" applyFont="1" applyBorder="1" applyAlignment="1">
      <alignment horizontal="left"/>
    </xf>
    <xf numFmtId="1" fontId="26" fillId="0" borderId="76" xfId="0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 wrapText="1"/>
    </xf>
    <xf numFmtId="0" fontId="26" fillId="0" borderId="26" xfId="0" applyFont="1" applyBorder="1" applyAlignment="1">
      <alignment horizontal="left"/>
    </xf>
    <xf numFmtId="1" fontId="26" fillId="0" borderId="26" xfId="0" applyNumberFormat="1" applyFont="1" applyBorder="1" applyAlignment="1">
      <alignment horizontal="left"/>
    </xf>
    <xf numFmtId="2" fontId="17" fillId="0" borderId="13" xfId="0" applyNumberFormat="1" applyFont="1" applyBorder="1" applyAlignment="1">
      <alignment horizontal="left" vertical="center"/>
    </xf>
    <xf numFmtId="2" fontId="46" fillId="0" borderId="36" xfId="0" applyNumberFormat="1" applyFont="1" applyBorder="1" applyAlignment="1">
      <alignment horizontal="left" vertical="center"/>
    </xf>
    <xf numFmtId="2" fontId="28" fillId="0" borderId="24" xfId="0" applyNumberFormat="1" applyFont="1" applyBorder="1" applyAlignment="1">
      <alignment horizontal="left" vertical="center"/>
    </xf>
    <xf numFmtId="1" fontId="17" fillId="0" borderId="29" xfId="0" applyNumberFormat="1" applyFont="1" applyBorder="1" applyAlignment="1">
      <alignment horizontal="left"/>
    </xf>
    <xf numFmtId="0" fontId="16" fillId="0" borderId="70" xfId="0" applyFont="1" applyBorder="1" applyAlignment="1">
      <alignment horizontal="left"/>
    </xf>
    <xf numFmtId="1" fontId="24" fillId="0" borderId="7" xfId="0" applyNumberFormat="1" applyFont="1" applyBorder="1" applyAlignment="1">
      <alignment horizontal="left"/>
    </xf>
    <xf numFmtId="1" fontId="24" fillId="0" borderId="1" xfId="0" applyNumberFormat="1" applyFont="1" applyBorder="1" applyAlignment="1">
      <alignment horizontal="left"/>
    </xf>
    <xf numFmtId="1" fontId="24" fillId="0" borderId="19" xfId="0" applyNumberFormat="1" applyFont="1" applyBorder="1" applyAlignment="1">
      <alignment horizontal="left"/>
    </xf>
    <xf numFmtId="0" fontId="19" fillId="0" borderId="45" xfId="0" applyFont="1" applyBorder="1" applyAlignment="1">
      <alignment horizontal="left"/>
    </xf>
    <xf numFmtId="1" fontId="17" fillId="0" borderId="1" xfId="1" applyNumberFormat="1" applyFont="1" applyBorder="1" applyAlignment="1">
      <alignment horizontal="left"/>
    </xf>
    <xf numFmtId="1" fontId="17" fillId="0" borderId="19" xfId="1" applyNumberFormat="1" applyFont="1" applyBorder="1" applyAlignment="1">
      <alignment horizontal="left"/>
    </xf>
    <xf numFmtId="1" fontId="16" fillId="0" borderId="45" xfId="1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vertical="center"/>
    </xf>
    <xf numFmtId="1" fontId="17" fillId="0" borderId="77" xfId="0" applyNumberFormat="1" applyFont="1" applyBorder="1" applyAlignment="1">
      <alignment horizontal="left" vertical="center"/>
    </xf>
    <xf numFmtId="1" fontId="28" fillId="0" borderId="51" xfId="0" applyNumberFormat="1" applyFont="1" applyBorder="1" applyAlignment="1">
      <alignment horizontal="left" vertical="center"/>
    </xf>
    <xf numFmtId="1" fontId="17" fillId="0" borderId="0" xfId="0" applyNumberFormat="1" applyFont="1" applyAlignment="1">
      <alignment horizontal="left" vertical="center"/>
    </xf>
    <xf numFmtId="1" fontId="16" fillId="0" borderId="29" xfId="0" applyNumberFormat="1" applyFont="1" applyBorder="1" applyAlignment="1">
      <alignment horizontal="left"/>
    </xf>
    <xf numFmtId="1" fontId="16" fillId="0" borderId="36" xfId="0" applyNumberFormat="1" applyFont="1" applyBorder="1" applyAlignment="1">
      <alignment horizontal="left"/>
    </xf>
    <xf numFmtId="1" fontId="1" fillId="0" borderId="70" xfId="0" applyNumberFormat="1" applyFont="1" applyBorder="1" applyAlignment="1">
      <alignment horizontal="left"/>
    </xf>
    <xf numFmtId="1" fontId="16" fillId="0" borderId="29" xfId="2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4" fillId="0" borderId="17" xfId="0" applyNumberFormat="1" applyFont="1" applyBorder="1" applyAlignment="1">
      <alignment horizontal="left"/>
    </xf>
    <xf numFmtId="3" fontId="19" fillId="0" borderId="31" xfId="0" applyNumberFormat="1" applyFont="1" applyBorder="1" applyAlignment="1">
      <alignment horizontal="left"/>
    </xf>
    <xf numFmtId="3" fontId="19" fillId="0" borderId="33" xfId="0" applyNumberFormat="1" applyFont="1" applyBorder="1" applyAlignment="1">
      <alignment horizontal="left"/>
    </xf>
    <xf numFmtId="3" fontId="19" fillId="0" borderId="1" xfId="0" applyNumberFormat="1" applyFont="1" applyBorder="1" applyAlignment="1">
      <alignment horizontal="left"/>
    </xf>
    <xf numFmtId="3" fontId="19" fillId="0" borderId="3" xfId="0" applyNumberFormat="1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3" fontId="19" fillId="0" borderId="12" xfId="0" applyNumberFormat="1" applyFont="1" applyBorder="1" applyAlignment="1">
      <alignment horizontal="left"/>
    </xf>
    <xf numFmtId="3" fontId="19" fillId="0" borderId="30" xfId="0" applyNumberFormat="1" applyFont="1" applyBorder="1" applyAlignment="1">
      <alignment horizontal="left"/>
    </xf>
    <xf numFmtId="2" fontId="4" fillId="0" borderId="70" xfId="0" applyNumberFormat="1" applyFont="1" applyBorder="1" applyAlignment="1">
      <alignment horizontal="left"/>
    </xf>
    <xf numFmtId="1" fontId="28" fillId="0" borderId="25" xfId="0" applyNumberFormat="1" applyFont="1" applyBorder="1" applyAlignment="1">
      <alignment horizontal="left" vertical="center"/>
    </xf>
    <xf numFmtId="1" fontId="28" fillId="0" borderId="78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left"/>
    </xf>
    <xf numFmtId="1" fontId="27" fillId="0" borderId="4" xfId="0" applyNumberFormat="1" applyFont="1" applyBorder="1" applyAlignment="1">
      <alignment horizontal="left"/>
    </xf>
    <xf numFmtId="1" fontId="25" fillId="0" borderId="4" xfId="1" applyNumberFormat="1" applyFont="1" applyBorder="1" applyAlignment="1">
      <alignment horizontal="left"/>
    </xf>
    <xf numFmtId="2" fontId="21" fillId="0" borderId="67" xfId="0" applyNumberFormat="1" applyFont="1" applyBorder="1" applyAlignment="1">
      <alignment horizontal="left"/>
    </xf>
    <xf numFmtId="2" fontId="16" fillId="0" borderId="7" xfId="0" applyNumberFormat="1" applyFont="1" applyBorder="1" applyAlignment="1">
      <alignment horizontal="left" vertical="center"/>
    </xf>
    <xf numFmtId="2" fontId="16" fillId="0" borderId="9" xfId="0" applyNumberFormat="1" applyFont="1" applyBorder="1" applyAlignment="1">
      <alignment horizontal="left" vertical="center"/>
    </xf>
    <xf numFmtId="2" fontId="16" fillId="0" borderId="19" xfId="0" applyNumberFormat="1" applyFont="1" applyBorder="1" applyAlignment="1">
      <alignment horizontal="left" vertical="center"/>
    </xf>
    <xf numFmtId="2" fontId="17" fillId="0" borderId="0" xfId="0" applyNumberFormat="1" applyFont="1"/>
    <xf numFmtId="2" fontId="38" fillId="0" borderId="52" xfId="0" applyNumberFormat="1" applyFont="1" applyBorder="1" applyAlignment="1">
      <alignment horizontal="left" vertical="center"/>
    </xf>
    <xf numFmtId="1" fontId="26" fillId="0" borderId="45" xfId="0" applyNumberFormat="1" applyFont="1" applyBorder="1" applyAlignment="1">
      <alignment horizontal="left"/>
    </xf>
    <xf numFmtId="2" fontId="38" fillId="0" borderId="50" xfId="0" applyNumberFormat="1" applyFont="1" applyBorder="1" applyAlignment="1">
      <alignment horizontal="left" vertical="center"/>
    </xf>
    <xf numFmtId="1" fontId="38" fillId="0" borderId="53" xfId="0" applyNumberFormat="1" applyFont="1" applyBorder="1" applyAlignment="1">
      <alignment horizontal="left"/>
    </xf>
    <xf numFmtId="1" fontId="38" fillId="0" borderId="63" xfId="0" applyNumberFormat="1" applyFont="1" applyBorder="1" applyAlignment="1">
      <alignment horizontal="left"/>
    </xf>
    <xf numFmtId="1" fontId="26" fillId="0" borderId="39" xfId="0" applyNumberFormat="1" applyFont="1" applyBorder="1" applyAlignment="1">
      <alignment horizontal="left"/>
    </xf>
    <xf numFmtId="0" fontId="25" fillId="0" borderId="72" xfId="0" applyFont="1" applyBorder="1" applyAlignment="1">
      <alignment horizontal="left" vertical="center"/>
    </xf>
    <xf numFmtId="1" fontId="22" fillId="0" borderId="3" xfId="0" applyNumberFormat="1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38" fillId="0" borderId="53" xfId="0" applyFont="1" applyBorder="1" applyAlignment="1">
      <alignment horizontal="left"/>
    </xf>
    <xf numFmtId="0" fontId="23" fillId="0" borderId="74" xfId="0" applyFont="1" applyBorder="1" applyAlignment="1">
      <alignment vertical="center"/>
    </xf>
    <xf numFmtId="3" fontId="48" fillId="0" borderId="16" xfId="0" applyNumberFormat="1" applyFont="1" applyBorder="1" applyAlignment="1">
      <alignment horizontal="right"/>
    </xf>
    <xf numFmtId="0" fontId="21" fillId="0" borderId="16" xfId="0" applyFont="1" applyBorder="1"/>
    <xf numFmtId="3" fontId="45" fillId="0" borderId="16" xfId="0" applyNumberFormat="1" applyFont="1" applyBorder="1" applyAlignment="1">
      <alignment horizontal="right"/>
    </xf>
    <xf numFmtId="165" fontId="48" fillId="0" borderId="16" xfId="0" applyNumberFormat="1" applyFont="1" applyBorder="1" applyAlignment="1">
      <alignment horizontal="right"/>
    </xf>
    <xf numFmtId="3" fontId="49" fillId="0" borderId="16" xfId="0" applyNumberFormat="1" applyFont="1" applyBorder="1" applyAlignment="1">
      <alignment horizontal="right"/>
    </xf>
    <xf numFmtId="3" fontId="48" fillId="0" borderId="66" xfId="0" applyNumberFormat="1" applyFont="1" applyBorder="1" applyAlignment="1">
      <alignment horizontal="right"/>
    </xf>
    <xf numFmtId="3" fontId="45" fillId="0" borderId="53" xfId="0" applyNumberFormat="1" applyFont="1" applyBorder="1" applyAlignment="1">
      <alignment horizontal="right"/>
    </xf>
    <xf numFmtId="2" fontId="17" fillId="0" borderId="12" xfId="0" applyNumberFormat="1" applyFont="1" applyBorder="1" applyAlignment="1">
      <alignment horizontal="left" vertical="center"/>
    </xf>
    <xf numFmtId="1" fontId="25" fillId="0" borderId="66" xfId="0" applyNumberFormat="1" applyFont="1" applyBorder="1" applyAlignment="1">
      <alignment horizontal="left"/>
    </xf>
    <xf numFmtId="1" fontId="25" fillId="0" borderId="24" xfId="0" applyNumberFormat="1" applyFont="1" applyBorder="1" applyAlignment="1">
      <alignment horizontal="left"/>
    </xf>
    <xf numFmtId="1" fontId="25" fillId="0" borderId="17" xfId="0" applyNumberFormat="1" applyFont="1" applyBorder="1" applyAlignment="1">
      <alignment horizontal="left"/>
    </xf>
    <xf numFmtId="2" fontId="38" fillId="0" borderId="63" xfId="0" applyNumberFormat="1" applyFont="1" applyBorder="1" applyAlignment="1">
      <alignment horizontal="left" vertical="center"/>
    </xf>
    <xf numFmtId="1" fontId="26" fillId="0" borderId="65" xfId="0" applyNumberFormat="1" applyFont="1" applyBorder="1" applyAlignment="1">
      <alignment horizontal="left"/>
    </xf>
    <xf numFmtId="2" fontId="26" fillId="0" borderId="65" xfId="0" applyNumberFormat="1" applyFont="1" applyBorder="1" applyAlignment="1">
      <alignment horizontal="left"/>
    </xf>
    <xf numFmtId="2" fontId="38" fillId="0" borderId="69" xfId="0" applyNumberFormat="1" applyFont="1" applyBorder="1" applyAlignment="1">
      <alignment horizontal="left" vertical="center"/>
    </xf>
    <xf numFmtId="2" fontId="26" fillId="0" borderId="36" xfId="0" applyNumberFormat="1" applyFont="1" applyBorder="1" applyAlignment="1">
      <alignment horizontal="left"/>
    </xf>
    <xf numFmtId="2" fontId="26" fillId="0" borderId="65" xfId="2" applyNumberFormat="1" applyFont="1" applyBorder="1" applyAlignment="1">
      <alignment horizontal="left"/>
    </xf>
    <xf numFmtId="1" fontId="26" fillId="0" borderId="66" xfId="0" applyNumberFormat="1" applyFont="1" applyBorder="1" applyAlignment="1">
      <alignment horizontal="left"/>
    </xf>
    <xf numFmtId="0" fontId="26" fillId="0" borderId="78" xfId="0" applyFont="1" applyBorder="1" applyAlignment="1">
      <alignment horizontal="left"/>
    </xf>
    <xf numFmtId="2" fontId="26" fillId="0" borderId="65" xfId="0" applyNumberFormat="1" applyFont="1" applyBorder="1" applyAlignment="1">
      <alignment horizontal="left" vertical="center"/>
    </xf>
    <xf numFmtId="0" fontId="26" fillId="0" borderId="25" xfId="0" applyFont="1" applyBorder="1" applyAlignment="1">
      <alignment horizontal="left"/>
    </xf>
    <xf numFmtId="0" fontId="25" fillId="0" borderId="76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" fontId="28" fillId="0" borderId="52" xfId="1" applyNumberFormat="1" applyFont="1" applyBorder="1" applyAlignment="1">
      <alignment horizontal="left"/>
    </xf>
    <xf numFmtId="1" fontId="28" fillId="0" borderId="53" xfId="1" applyNumberFormat="1" applyFont="1" applyBorder="1" applyAlignment="1">
      <alignment horizontal="left"/>
    </xf>
    <xf numFmtId="0" fontId="23" fillId="0" borderId="28" xfId="0" applyFont="1" applyBorder="1" applyAlignment="1">
      <alignment vertical="center"/>
    </xf>
    <xf numFmtId="2" fontId="16" fillId="0" borderId="9" xfId="2" applyNumberFormat="1" applyFont="1" applyBorder="1" applyAlignment="1">
      <alignment horizontal="left"/>
    </xf>
    <xf numFmtId="2" fontId="16" fillId="0" borderId="3" xfId="0" applyNumberFormat="1" applyFont="1" applyBorder="1" applyAlignment="1">
      <alignment horizontal="left"/>
    </xf>
    <xf numFmtId="2" fontId="16" fillId="0" borderId="65" xfId="0" applyNumberFormat="1" applyFont="1" applyBorder="1" applyAlignment="1">
      <alignment horizontal="left"/>
    </xf>
    <xf numFmtId="2" fontId="17" fillId="0" borderId="39" xfId="0" applyNumberFormat="1" applyFont="1" applyBorder="1" applyAlignment="1">
      <alignment horizontal="left"/>
    </xf>
    <xf numFmtId="1" fontId="50" fillId="0" borderId="0" xfId="0" applyNumberFormat="1" applyFont="1" applyAlignment="1">
      <alignment horizontal="left"/>
    </xf>
    <xf numFmtId="0" fontId="38" fillId="0" borderId="58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1" fontId="27" fillId="0" borderId="71" xfId="0" applyNumberFormat="1" applyFont="1" applyBorder="1" applyAlignment="1">
      <alignment horizontal="left"/>
    </xf>
    <xf numFmtId="1" fontId="23" fillId="0" borderId="7" xfId="0" applyNumberFormat="1" applyFont="1" applyBorder="1" applyAlignment="1">
      <alignment horizontal="left" vertical="center"/>
    </xf>
    <xf numFmtId="1" fontId="23" fillId="0" borderId="29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/>
    </xf>
    <xf numFmtId="1" fontId="48" fillId="0" borderId="7" xfId="0" applyNumberFormat="1" applyFont="1" applyBorder="1" applyAlignment="1">
      <alignment horizontal="left"/>
    </xf>
    <xf numFmtId="1" fontId="48" fillId="0" borderId="29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2" fillId="0" borderId="46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 vertical="center"/>
    </xf>
    <xf numFmtId="1" fontId="21" fillId="0" borderId="1" xfId="2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 wrapText="1"/>
    </xf>
    <xf numFmtId="1" fontId="48" fillId="0" borderId="1" xfId="0" applyNumberFormat="1" applyFont="1" applyBorder="1" applyAlignment="1">
      <alignment horizontal="left"/>
    </xf>
    <xf numFmtId="1" fontId="21" fillId="0" borderId="1" xfId="1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20" fillId="0" borderId="6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2" fillId="0" borderId="68" xfId="0" applyNumberFormat="1" applyFont="1" applyBorder="1" applyAlignment="1">
      <alignment horizontal="left"/>
    </xf>
    <xf numFmtId="1" fontId="21" fillId="0" borderId="19" xfId="0" applyNumberFormat="1" applyFont="1" applyBorder="1" applyAlignment="1">
      <alignment horizontal="left" vertical="center"/>
    </xf>
    <xf numFmtId="1" fontId="21" fillId="0" borderId="19" xfId="0" applyNumberFormat="1" applyFont="1" applyBorder="1" applyAlignment="1">
      <alignment horizontal="left"/>
    </xf>
    <xf numFmtId="1" fontId="21" fillId="0" borderId="19" xfId="2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" fontId="21" fillId="0" borderId="19" xfId="0" applyNumberFormat="1" applyFont="1" applyBorder="1" applyAlignment="1">
      <alignment horizontal="left" wrapText="1"/>
    </xf>
    <xf numFmtId="1" fontId="48" fillId="0" borderId="19" xfId="0" applyNumberFormat="1" applyFont="1" applyBorder="1" applyAlignment="1">
      <alignment horizontal="left"/>
    </xf>
    <xf numFmtId="1" fontId="40" fillId="0" borderId="67" xfId="0" applyNumberFormat="1" applyFont="1" applyBorder="1" applyAlignment="1">
      <alignment horizontal="left"/>
    </xf>
    <xf numFmtId="1" fontId="50" fillId="0" borderId="37" xfId="0" applyNumberFormat="1" applyFont="1" applyBorder="1" applyAlignment="1">
      <alignment horizontal="left"/>
    </xf>
    <xf numFmtId="1" fontId="50" fillId="0" borderId="79" xfId="0" applyNumberFormat="1" applyFont="1" applyBorder="1" applyAlignment="1">
      <alignment horizontal="left"/>
    </xf>
    <xf numFmtId="1" fontId="50" fillId="0" borderId="67" xfId="0" applyNumberFormat="1" applyFont="1" applyBorder="1" applyAlignment="1">
      <alignment horizontal="left"/>
    </xf>
    <xf numFmtId="1" fontId="25" fillId="0" borderId="71" xfId="0" applyNumberFormat="1" applyFont="1" applyBorder="1" applyAlignment="1">
      <alignment horizontal="left"/>
    </xf>
    <xf numFmtId="1" fontId="21" fillId="0" borderId="31" xfId="0" applyNumberFormat="1" applyFont="1" applyBorder="1" applyAlignment="1">
      <alignment horizontal="left" vertical="center"/>
    </xf>
    <xf numFmtId="1" fontId="21" fillId="0" borderId="72" xfId="0" applyNumberFormat="1" applyFont="1" applyBorder="1" applyAlignment="1">
      <alignment horizontal="left" vertical="center"/>
    </xf>
    <xf numFmtId="1" fontId="21" fillId="0" borderId="31" xfId="0" applyNumberFormat="1" applyFont="1" applyBorder="1" applyAlignment="1">
      <alignment horizontal="left"/>
    </xf>
    <xf numFmtId="1" fontId="21" fillId="0" borderId="72" xfId="0" applyNumberFormat="1" applyFont="1" applyBorder="1" applyAlignment="1">
      <alignment horizontal="left"/>
    </xf>
    <xf numFmtId="1" fontId="21" fillId="0" borderId="31" xfId="1" applyNumberFormat="1" applyFont="1" applyBorder="1" applyAlignment="1">
      <alignment horizontal="left"/>
    </xf>
    <xf numFmtId="1" fontId="21" fillId="0" borderId="72" xfId="1" applyNumberFormat="1" applyFont="1" applyBorder="1" applyAlignment="1">
      <alignment horizontal="left"/>
    </xf>
    <xf numFmtId="1" fontId="21" fillId="0" borderId="31" xfId="0" applyNumberFormat="1" applyFont="1" applyBorder="1" applyAlignment="1">
      <alignment horizontal="left" wrapText="1"/>
    </xf>
    <xf numFmtId="1" fontId="20" fillId="0" borderId="75" xfId="0" applyNumberFormat="1" applyFont="1" applyBorder="1" applyAlignment="1">
      <alignment horizontal="left"/>
    </xf>
    <xf numFmtId="1" fontId="20" fillId="0" borderId="12" xfId="0" applyNumberFormat="1" applyFont="1" applyBorder="1" applyAlignment="1">
      <alignment horizontal="left"/>
    </xf>
    <xf numFmtId="1" fontId="20" fillId="0" borderId="73" xfId="0" applyNumberFormat="1" applyFont="1" applyBorder="1" applyAlignment="1">
      <alignment horizontal="left"/>
    </xf>
    <xf numFmtId="0" fontId="27" fillId="0" borderId="49" xfId="0" applyFont="1" applyBorder="1" applyAlignment="1">
      <alignment horizontal="left"/>
    </xf>
    <xf numFmtId="0" fontId="38" fillId="0" borderId="58" xfId="0" applyFont="1" applyBorder="1" applyAlignment="1">
      <alignment horizontal="left" vertical="justify" wrapText="1"/>
    </xf>
    <xf numFmtId="0" fontId="38" fillId="0" borderId="49" xfId="0" applyFont="1" applyBorder="1" applyAlignment="1">
      <alignment horizontal="left" vertical="justify" wrapText="1"/>
    </xf>
    <xf numFmtId="0" fontId="24" fillId="0" borderId="28" xfId="0" applyFont="1" applyBorder="1" applyAlignment="1">
      <alignment horizontal="left"/>
    </xf>
    <xf numFmtId="0" fontId="16" fillId="0" borderId="8" xfId="0" applyFont="1" applyBorder="1"/>
    <xf numFmtId="0" fontId="16" fillId="0" borderId="29" xfId="0" applyFont="1" applyBorder="1"/>
    <xf numFmtId="0" fontId="16" fillId="0" borderId="7" xfId="0" applyFont="1" applyBorder="1"/>
    <xf numFmtId="0" fontId="16" fillId="0" borderId="9" xfId="0" applyFont="1" applyBorder="1"/>
    <xf numFmtId="0" fontId="16" fillId="0" borderId="4" xfId="0" applyFont="1" applyBorder="1"/>
    <xf numFmtId="0" fontId="16" fillId="0" borderId="13" xfId="0" applyFont="1" applyBorder="1"/>
    <xf numFmtId="0" fontId="16" fillId="0" borderId="1" xfId="0" applyFont="1" applyBorder="1"/>
    <xf numFmtId="0" fontId="16" fillId="0" borderId="3" xfId="0" applyFont="1" applyBorder="1"/>
    <xf numFmtId="0" fontId="16" fillId="0" borderId="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8" xfId="0" applyFont="1" applyBorder="1"/>
    <xf numFmtId="0" fontId="17" fillId="0" borderId="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" xfId="0" applyFont="1" applyBorder="1"/>
    <xf numFmtId="0" fontId="17" fillId="0" borderId="3" xfId="0" applyFont="1" applyBorder="1"/>
    <xf numFmtId="0" fontId="17" fillId="0" borderId="4" xfId="0" applyFont="1" applyBorder="1"/>
    <xf numFmtId="0" fontId="17" fillId="0" borderId="13" xfId="0" applyFont="1" applyBorder="1"/>
    <xf numFmtId="1" fontId="17" fillId="0" borderId="15" xfId="0" applyNumberFormat="1" applyFont="1" applyBorder="1" applyAlignment="1">
      <alignment horizontal="left" vertical="center"/>
    </xf>
    <xf numFmtId="1" fontId="16" fillId="0" borderId="7" xfId="0" applyNumberFormat="1" applyFont="1" applyBorder="1" applyAlignment="1">
      <alignment horizontal="left" vertical="center" shrinkToFit="1"/>
    </xf>
    <xf numFmtId="1" fontId="16" fillId="0" borderId="1" xfId="0" applyNumberFormat="1" applyFont="1" applyBorder="1" applyAlignment="1">
      <alignment horizontal="left" vertical="top" shrinkToFit="1"/>
    </xf>
    <xf numFmtId="1" fontId="16" fillId="0" borderId="1" xfId="0" applyNumberFormat="1" applyFont="1" applyBorder="1" applyAlignment="1">
      <alignment horizontal="left" vertical="top" wrapText="1"/>
    </xf>
    <xf numFmtId="1" fontId="16" fillId="0" borderId="46" xfId="0" applyNumberFormat="1" applyFont="1" applyBorder="1" applyAlignment="1">
      <alignment horizontal="left"/>
    </xf>
    <xf numFmtId="1" fontId="16" fillId="0" borderId="19" xfId="0" applyNumberFormat="1" applyFont="1" applyBorder="1" applyAlignment="1">
      <alignment horizontal="left" vertical="top" wrapText="1"/>
    </xf>
    <xf numFmtId="1" fontId="16" fillId="0" borderId="68" xfId="0" applyNumberFormat="1" applyFont="1" applyBorder="1" applyAlignment="1">
      <alignment horizontal="left"/>
    </xf>
    <xf numFmtId="1" fontId="41" fillId="0" borderId="12" xfId="0" applyNumberFormat="1" applyFont="1" applyBorder="1" applyAlignment="1">
      <alignment horizontal="left" vertical="center"/>
    </xf>
    <xf numFmtId="1" fontId="41" fillId="0" borderId="27" xfId="0" applyNumberFormat="1" applyFont="1" applyBorder="1" applyAlignment="1">
      <alignment horizontal="left" vertical="center"/>
    </xf>
    <xf numFmtId="2" fontId="41" fillId="0" borderId="27" xfId="0" applyNumberFormat="1" applyFont="1" applyBorder="1" applyAlignment="1">
      <alignment horizontal="left" vertical="center"/>
    </xf>
    <xf numFmtId="1" fontId="41" fillId="0" borderId="36" xfId="0" applyNumberFormat="1" applyFont="1" applyBorder="1" applyAlignment="1">
      <alignment horizontal="left" vertical="center"/>
    </xf>
    <xf numFmtId="1" fontId="42" fillId="0" borderId="28" xfId="0" applyNumberFormat="1" applyFont="1" applyBorder="1" applyAlignment="1">
      <alignment horizontal="left" vertical="center" shrinkToFit="1"/>
    </xf>
    <xf numFmtId="1" fontId="41" fillId="0" borderId="65" xfId="0" applyNumberFormat="1" applyFont="1" applyBorder="1" applyAlignment="1">
      <alignment horizontal="left" vertical="center"/>
    </xf>
    <xf numFmtId="2" fontId="16" fillId="0" borderId="3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top" shrinkToFit="1"/>
    </xf>
    <xf numFmtId="2" fontId="17" fillId="0" borderId="12" xfId="0" applyNumberFormat="1" applyFont="1" applyBorder="1" applyAlignment="1">
      <alignment horizontal="left" vertical="top" shrinkToFit="1"/>
    </xf>
    <xf numFmtId="1" fontId="16" fillId="0" borderId="12" xfId="0" applyNumberFormat="1" applyFont="1" applyBorder="1" applyAlignment="1">
      <alignment horizontal="left"/>
    </xf>
    <xf numFmtId="2" fontId="16" fillId="0" borderId="12" xfId="2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1" fontId="23" fillId="0" borderId="28" xfId="0" applyNumberFormat="1" applyFont="1" applyBorder="1" applyAlignment="1">
      <alignment horizontal="left" vertical="center"/>
    </xf>
    <xf numFmtId="1" fontId="23" fillId="0" borderId="25" xfId="0" applyNumberFormat="1" applyFont="1" applyBorder="1" applyAlignment="1">
      <alignment horizontal="left" vertical="center"/>
    </xf>
    <xf numFmtId="1" fontId="23" fillId="0" borderId="76" xfId="0" applyNumberFormat="1" applyFont="1" applyBorder="1" applyAlignment="1">
      <alignment horizontal="left" vertical="center"/>
    </xf>
    <xf numFmtId="1" fontId="23" fillId="0" borderId="15" xfId="0" applyNumberFormat="1" applyFont="1" applyBorder="1" applyAlignment="1">
      <alignment horizontal="left" vertical="center"/>
    </xf>
    <xf numFmtId="1" fontId="23" fillId="0" borderId="12" xfId="0" applyNumberFormat="1" applyFont="1" applyBorder="1" applyAlignment="1">
      <alignment horizontal="left" vertical="center"/>
    </xf>
    <xf numFmtId="1" fontId="23" fillId="0" borderId="42" xfId="0" applyNumberFormat="1" applyFont="1" applyBorder="1" applyAlignment="1">
      <alignment horizontal="left" vertical="center"/>
    </xf>
    <xf numFmtId="1" fontId="23" fillId="0" borderId="45" xfId="0" applyNumberFormat="1" applyFont="1" applyBorder="1" applyAlignment="1">
      <alignment horizontal="left" vertical="center"/>
    </xf>
    <xf numFmtId="1" fontId="23" fillId="0" borderId="14" xfId="0" applyNumberFormat="1" applyFont="1" applyBorder="1" applyAlignment="1">
      <alignment horizontal="left" vertical="center"/>
    </xf>
    <xf numFmtId="1" fontId="23" fillId="0" borderId="52" xfId="0" applyNumberFormat="1" applyFont="1" applyBorder="1" applyAlignment="1">
      <alignment horizontal="left" vertical="center"/>
    </xf>
    <xf numFmtId="1" fontId="23" fillId="0" borderId="49" xfId="0" applyNumberFormat="1" applyFont="1" applyBorder="1" applyAlignment="1">
      <alignment horizontal="left" vertical="center"/>
    </xf>
    <xf numFmtId="1" fontId="43" fillId="0" borderId="13" xfId="0" applyNumberFormat="1" applyFont="1" applyBorder="1" applyAlignment="1">
      <alignment horizontal="left"/>
    </xf>
    <xf numFmtId="1" fontId="43" fillId="0" borderId="1" xfId="0" applyNumberFormat="1" applyFont="1" applyBorder="1" applyAlignment="1">
      <alignment horizontal="left" vertical="center"/>
    </xf>
    <xf numFmtId="1" fontId="43" fillId="0" borderId="1" xfId="0" applyNumberFormat="1" applyFont="1" applyBorder="1" applyAlignment="1">
      <alignment horizontal="left"/>
    </xf>
    <xf numFmtId="1" fontId="43" fillId="0" borderId="2" xfId="0" applyNumberFormat="1" applyFont="1" applyBorder="1" applyAlignment="1">
      <alignment horizontal="left"/>
    </xf>
    <xf numFmtId="1" fontId="43" fillId="0" borderId="4" xfId="0" applyNumberFormat="1" applyFont="1" applyBorder="1" applyAlignment="1">
      <alignment horizontal="left"/>
    </xf>
    <xf numFmtId="1" fontId="43" fillId="0" borderId="18" xfId="0" applyNumberFormat="1" applyFont="1" applyBorder="1" applyAlignment="1">
      <alignment horizontal="left"/>
    </xf>
    <xf numFmtId="1" fontId="43" fillId="0" borderId="2" xfId="2" applyNumberFormat="1" applyFont="1" applyBorder="1" applyAlignment="1">
      <alignment horizontal="left"/>
    </xf>
    <xf numFmtId="1" fontId="43" fillId="0" borderId="2" xfId="1" applyNumberFormat="1" applyFont="1" applyBorder="1" applyAlignment="1">
      <alignment horizontal="left"/>
    </xf>
    <xf numFmtId="1" fontId="43" fillId="0" borderId="1" xfId="1" applyNumberFormat="1" applyFont="1" applyBorder="1" applyAlignment="1">
      <alignment horizontal="left"/>
    </xf>
    <xf numFmtId="1" fontId="43" fillId="0" borderId="15" xfId="0" applyNumberFormat="1" applyFont="1" applyBorder="1" applyAlignment="1">
      <alignment horizontal="left"/>
    </xf>
    <xf numFmtId="1" fontId="43" fillId="0" borderId="0" xfId="0" applyNumberFormat="1" applyFont="1" applyAlignment="1">
      <alignment horizontal="left"/>
    </xf>
    <xf numFmtId="2" fontId="21" fillId="0" borderId="6" xfId="0" applyNumberFormat="1" applyFont="1" applyBorder="1" applyAlignment="1">
      <alignment horizontal="left"/>
    </xf>
    <xf numFmtId="0" fontId="43" fillId="0" borderId="15" xfId="0" applyFont="1" applyBorder="1" applyAlignment="1">
      <alignment horizontal="left"/>
    </xf>
    <xf numFmtId="0" fontId="41" fillId="0" borderId="6" xfId="0" applyFont="1" applyBorder="1" applyAlignment="1">
      <alignment horizontal="left"/>
    </xf>
    <xf numFmtId="2" fontId="38" fillId="0" borderId="25" xfId="0" applyNumberFormat="1" applyFont="1" applyBorder="1" applyAlignment="1">
      <alignment horizontal="left"/>
    </xf>
    <xf numFmtId="2" fontId="38" fillId="0" borderId="78" xfId="0" applyNumberFormat="1" applyFont="1" applyBorder="1" applyAlignment="1">
      <alignment horizontal="left"/>
    </xf>
    <xf numFmtId="2" fontId="38" fillId="0" borderId="26" xfId="0" applyNumberFormat="1" applyFont="1" applyBorder="1" applyAlignment="1">
      <alignment horizontal="left"/>
    </xf>
    <xf numFmtId="1" fontId="38" fillId="0" borderId="51" xfId="0" applyNumberFormat="1" applyFont="1" applyBorder="1" applyAlignment="1">
      <alignment horizontal="left"/>
    </xf>
    <xf numFmtId="2" fontId="38" fillId="0" borderId="51" xfId="0" applyNumberFormat="1" applyFont="1" applyBorder="1" applyAlignment="1">
      <alignment horizontal="left"/>
    </xf>
    <xf numFmtId="2" fontId="38" fillId="0" borderId="53" xfId="0" applyNumberFormat="1" applyFont="1" applyBorder="1" applyAlignment="1">
      <alignment horizontal="left"/>
    </xf>
    <xf numFmtId="2" fontId="38" fillId="0" borderId="58" xfId="0" applyNumberFormat="1" applyFont="1" applyBorder="1" applyAlignment="1">
      <alignment horizontal="left"/>
    </xf>
    <xf numFmtId="1" fontId="38" fillId="0" borderId="58" xfId="0" applyNumberFormat="1" applyFont="1" applyBorder="1" applyAlignment="1">
      <alignment horizontal="left"/>
    </xf>
    <xf numFmtId="2" fontId="38" fillId="0" borderId="49" xfId="0" applyNumberFormat="1" applyFont="1" applyBorder="1" applyAlignment="1">
      <alignment horizontal="left"/>
    </xf>
    <xf numFmtId="2" fontId="38" fillId="0" borderId="50" xfId="0" applyNumberFormat="1" applyFont="1" applyBorder="1" applyAlignment="1">
      <alignment horizontal="left"/>
    </xf>
    <xf numFmtId="2" fontId="38" fillId="0" borderId="62" xfId="0" applyNumberFormat="1" applyFont="1" applyBorder="1" applyAlignment="1">
      <alignment horizontal="left"/>
    </xf>
    <xf numFmtId="2" fontId="23" fillId="0" borderId="74" xfId="0" applyNumberFormat="1" applyFont="1" applyBorder="1" applyAlignment="1">
      <alignment horizontal="left"/>
    </xf>
    <xf numFmtId="2" fontId="32" fillId="0" borderId="47" xfId="0" applyNumberFormat="1" applyFont="1" applyBorder="1" applyAlignment="1">
      <alignment horizontal="left"/>
    </xf>
    <xf numFmtId="2" fontId="23" fillId="0" borderId="47" xfId="0" applyNumberFormat="1" applyFont="1" applyBorder="1" applyAlignment="1">
      <alignment horizontal="left"/>
    </xf>
    <xf numFmtId="2" fontId="32" fillId="0" borderId="51" xfId="0" applyNumberFormat="1" applyFont="1" applyBorder="1" applyAlignment="1">
      <alignment horizontal="left"/>
    </xf>
    <xf numFmtId="2" fontId="21" fillId="0" borderId="9" xfId="1" applyNumberFormat="1" applyFont="1" applyBorder="1" applyAlignment="1">
      <alignment horizontal="left"/>
    </xf>
    <xf numFmtId="2" fontId="21" fillId="0" borderId="3" xfId="1" applyNumberFormat="1" applyFont="1" applyBorder="1" applyAlignment="1">
      <alignment horizontal="left"/>
    </xf>
    <xf numFmtId="2" fontId="21" fillId="0" borderId="65" xfId="1" applyNumberFormat="1" applyFont="1" applyBorder="1" applyAlignment="1">
      <alignment horizontal="left"/>
    </xf>
    <xf numFmtId="2" fontId="32" fillId="0" borderId="41" xfId="1" applyNumberFormat="1" applyFont="1" applyBorder="1" applyAlignment="1">
      <alignment horizontal="left"/>
    </xf>
    <xf numFmtId="2" fontId="21" fillId="0" borderId="39" xfId="1" applyNumberFormat="1" applyFont="1" applyBorder="1" applyAlignment="1">
      <alignment horizontal="left"/>
    </xf>
    <xf numFmtId="165" fontId="24" fillId="0" borderId="72" xfId="0" applyNumberFormat="1" applyFont="1" applyBorder="1" applyAlignment="1">
      <alignment horizontal="left"/>
    </xf>
    <xf numFmtId="165" fontId="24" fillId="0" borderId="13" xfId="0" applyNumberFormat="1" applyFont="1" applyBorder="1" applyAlignment="1">
      <alignment horizontal="left"/>
    </xf>
    <xf numFmtId="165" fontId="24" fillId="0" borderId="73" xfId="0" applyNumberFormat="1" applyFont="1" applyBorder="1" applyAlignment="1">
      <alignment horizontal="left"/>
    </xf>
    <xf numFmtId="2" fontId="28" fillId="0" borderId="74" xfId="0" applyNumberFormat="1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2" fontId="28" fillId="0" borderId="13" xfId="0" applyNumberFormat="1" applyFont="1" applyBorder="1" applyAlignment="1">
      <alignment horizontal="left" vertical="center"/>
    </xf>
    <xf numFmtId="0" fontId="17" fillId="0" borderId="36" xfId="0" applyFont="1" applyBorder="1" applyAlignment="1">
      <alignment horizontal="left"/>
    </xf>
    <xf numFmtId="2" fontId="28" fillId="0" borderId="69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/>
    </xf>
    <xf numFmtId="0" fontId="17" fillId="0" borderId="72" xfId="0" applyFont="1" applyBorder="1" applyAlignment="1">
      <alignment horizontal="left" vertical="center"/>
    </xf>
    <xf numFmtId="2" fontId="46" fillId="0" borderId="73" xfId="0" applyNumberFormat="1" applyFont="1" applyBorder="1" applyAlignment="1">
      <alignment horizontal="left"/>
    </xf>
    <xf numFmtId="2" fontId="28" fillId="0" borderId="80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/>
    </xf>
    <xf numFmtId="0" fontId="20" fillId="0" borderId="27" xfId="0" applyFont="1" applyBorder="1"/>
    <xf numFmtId="0" fontId="35" fillId="0" borderId="58" xfId="0" applyFont="1" applyBorder="1" applyAlignment="1">
      <alignment horizontal="left" vertical="justify" wrapText="1"/>
    </xf>
    <xf numFmtId="0" fontId="35" fillId="0" borderId="49" xfId="0" applyFont="1" applyBorder="1" applyAlignment="1">
      <alignment horizontal="left" vertical="justify" wrapText="1"/>
    </xf>
    <xf numFmtId="0" fontId="34" fillId="0" borderId="0" xfId="0" applyFont="1" applyAlignment="1">
      <alignment horizontal="left" vertical="justify" wrapText="1"/>
    </xf>
    <xf numFmtId="1" fontId="19" fillId="0" borderId="6" xfId="0" applyNumberFormat="1" applyFont="1" applyBorder="1" applyAlignment="1">
      <alignment horizontal="left"/>
    </xf>
    <xf numFmtId="1" fontId="16" fillId="0" borderId="57" xfId="0" applyNumberFormat="1" applyFont="1" applyBorder="1" applyAlignment="1">
      <alignment horizontal="left" vertical="center"/>
    </xf>
    <xf numFmtId="1" fontId="16" fillId="0" borderId="57" xfId="0" applyNumberFormat="1" applyFont="1" applyBorder="1" applyAlignment="1">
      <alignment horizontal="left"/>
    </xf>
    <xf numFmtId="1" fontId="16" fillId="0" borderId="57" xfId="2" applyNumberFormat="1" applyFont="1" applyBorder="1" applyAlignment="1">
      <alignment horizontal="left"/>
    </xf>
    <xf numFmtId="1" fontId="16" fillId="0" borderId="6" xfId="0" applyNumberFormat="1" applyFont="1" applyBorder="1" applyAlignment="1">
      <alignment horizontal="left" wrapText="1"/>
    </xf>
    <xf numFmtId="1" fontId="16" fillId="0" borderId="28" xfId="1" applyNumberFormat="1" applyFont="1" applyBorder="1" applyAlignment="1">
      <alignment horizontal="left"/>
    </xf>
    <xf numFmtId="1" fontId="16" fillId="0" borderId="28" xfId="0" applyNumberFormat="1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1" fontId="16" fillId="0" borderId="46" xfId="0" applyNumberFormat="1" applyFont="1" applyBorder="1" applyAlignment="1">
      <alignment horizontal="left" vertical="center"/>
    </xf>
    <xf numFmtId="1" fontId="16" fillId="0" borderId="46" xfId="2" applyNumberFormat="1" applyFont="1" applyBorder="1" applyAlignment="1">
      <alignment horizontal="left"/>
    </xf>
    <xf numFmtId="1" fontId="16" fillId="0" borderId="46" xfId="0" applyNumberFormat="1" applyFont="1" applyBorder="1" applyAlignment="1">
      <alignment horizontal="left" wrapText="1"/>
    </xf>
    <xf numFmtId="1" fontId="16" fillId="0" borderId="15" xfId="1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left"/>
    </xf>
    <xf numFmtId="1" fontId="17" fillId="0" borderId="46" xfId="0" applyNumberFormat="1" applyFont="1" applyBorder="1" applyAlignment="1">
      <alignment horizontal="left" vertical="center"/>
    </xf>
    <xf numFmtId="1" fontId="17" fillId="0" borderId="46" xfId="0" applyNumberFormat="1" applyFont="1" applyBorder="1" applyAlignment="1">
      <alignment horizontal="left"/>
    </xf>
    <xf numFmtId="1" fontId="1" fillId="0" borderId="46" xfId="0" applyNumberFormat="1" applyFont="1" applyBorder="1" applyAlignment="1">
      <alignment horizontal="left"/>
    </xf>
    <xf numFmtId="1" fontId="19" fillId="0" borderId="46" xfId="0" applyNumberFormat="1" applyFont="1" applyBorder="1" applyAlignment="1">
      <alignment horizontal="left"/>
    </xf>
    <xf numFmtId="1" fontId="24" fillId="0" borderId="6" xfId="0" applyNumberFormat="1" applyFont="1" applyBorder="1" applyAlignment="1">
      <alignment horizontal="left"/>
    </xf>
    <xf numFmtId="1" fontId="24" fillId="0" borderId="15" xfId="0" applyNumberFormat="1" applyFont="1" applyBorder="1" applyAlignment="1">
      <alignment horizontal="left"/>
    </xf>
    <xf numFmtId="1" fontId="19" fillId="0" borderId="42" xfId="0" applyNumberFormat="1" applyFont="1" applyBorder="1" applyAlignment="1">
      <alignment horizontal="left"/>
    </xf>
    <xf numFmtId="1" fontId="16" fillId="0" borderId="68" xfId="0" applyNumberFormat="1" applyFont="1" applyBorder="1" applyAlignment="1">
      <alignment horizontal="left" vertical="center"/>
    </xf>
    <xf numFmtId="1" fontId="16" fillId="0" borderId="68" xfId="2" applyNumberFormat="1" applyFont="1" applyBorder="1" applyAlignment="1">
      <alignment horizontal="left"/>
    </xf>
    <xf numFmtId="1" fontId="16" fillId="0" borderId="27" xfId="1" applyNumberFormat="1" applyFont="1" applyBorder="1" applyAlignment="1">
      <alignment horizontal="left"/>
    </xf>
    <xf numFmtId="1" fontId="16" fillId="0" borderId="14" xfId="0" applyNumberFormat="1" applyFont="1" applyBorder="1" applyAlignment="1">
      <alignment horizontal="left"/>
    </xf>
    <xf numFmtId="1" fontId="17" fillId="0" borderId="66" xfId="0" applyNumberFormat="1" applyFont="1" applyBorder="1" applyAlignment="1">
      <alignment horizontal="left"/>
    </xf>
    <xf numFmtId="1" fontId="16" fillId="0" borderId="14" xfId="1" applyNumberFormat="1" applyFont="1" applyBorder="1" applyAlignment="1">
      <alignment horizontal="left"/>
    </xf>
    <xf numFmtId="2" fontId="35" fillId="0" borderId="49" xfId="0" applyNumberFormat="1" applyFont="1" applyBorder="1" applyAlignment="1">
      <alignment horizontal="left"/>
    </xf>
    <xf numFmtId="2" fontId="35" fillId="0" borderId="22" xfId="0" applyNumberFormat="1" applyFont="1" applyBorder="1" applyAlignment="1">
      <alignment horizontal="left"/>
    </xf>
    <xf numFmtId="2" fontId="35" fillId="0" borderId="58" xfId="0" applyNumberFormat="1" applyFont="1" applyBorder="1" applyAlignment="1">
      <alignment horizontal="left" vertical="center"/>
    </xf>
    <xf numFmtId="2" fontId="35" fillId="0" borderId="58" xfId="0" applyNumberFormat="1" applyFont="1" applyBorder="1" applyAlignment="1">
      <alignment horizontal="left"/>
    </xf>
    <xf numFmtId="2" fontId="35" fillId="0" borderId="58" xfId="2" applyNumberFormat="1" applyFont="1" applyBorder="1" applyAlignment="1">
      <alignment horizontal="left"/>
    </xf>
    <xf numFmtId="2" fontId="35" fillId="0" borderId="58" xfId="0" applyNumberFormat="1" applyFont="1" applyBorder="1" applyAlignment="1">
      <alignment horizontal="left" wrapText="1"/>
    </xf>
    <xf numFmtId="2" fontId="35" fillId="0" borderId="49" xfId="1" applyNumberFormat="1" applyFont="1" applyBorder="1" applyAlignment="1">
      <alignment horizontal="left"/>
    </xf>
    <xf numFmtId="1" fontId="16" fillId="0" borderId="49" xfId="0" applyNumberFormat="1" applyFont="1" applyBorder="1" applyAlignment="1">
      <alignment horizontal="left"/>
    </xf>
    <xf numFmtId="2" fontId="35" fillId="0" borderId="53" xfId="0" applyNumberFormat="1" applyFont="1" applyBorder="1" applyAlignment="1">
      <alignment horizontal="left"/>
    </xf>
    <xf numFmtId="1" fontId="16" fillId="0" borderId="49" xfId="1" applyNumberFormat="1" applyFont="1" applyBorder="1" applyAlignment="1">
      <alignment horizontal="left"/>
    </xf>
    <xf numFmtId="2" fontId="34" fillId="0" borderId="0" xfId="0" applyNumberFormat="1" applyFont="1" applyAlignment="1">
      <alignment horizontal="left"/>
    </xf>
    <xf numFmtId="1" fontId="19" fillId="0" borderId="28" xfId="0" applyNumberFormat="1" applyFont="1" applyBorder="1" applyAlignment="1">
      <alignment horizontal="left"/>
    </xf>
    <xf numFmtId="1" fontId="17" fillId="0" borderId="58" xfId="0" applyNumberFormat="1" applyFont="1" applyBorder="1" applyAlignment="1">
      <alignment vertical="center" wrapText="1"/>
    </xf>
    <xf numFmtId="1" fontId="17" fillId="0" borderId="58" xfId="0" applyNumberFormat="1" applyFont="1" applyBorder="1" applyAlignment="1">
      <alignment vertical="justify" wrapText="1"/>
    </xf>
    <xf numFmtId="0" fontId="17" fillId="0" borderId="58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2" fontId="45" fillId="0" borderId="15" xfId="1" applyNumberFormat="1" applyFont="1" applyBorder="1" applyAlignment="1">
      <alignment horizontal="right"/>
    </xf>
    <xf numFmtId="0" fontId="44" fillId="0" borderId="15" xfId="0" applyFont="1" applyBorder="1"/>
    <xf numFmtId="1" fontId="23" fillId="0" borderId="19" xfId="0" applyNumberFormat="1" applyFont="1" applyBorder="1" applyAlignment="1">
      <alignment horizontal="left" vertical="center"/>
    </xf>
    <xf numFmtId="1" fontId="23" fillId="0" borderId="27" xfId="0" applyNumberFormat="1" applyFont="1" applyBorder="1" applyAlignment="1">
      <alignment horizontal="left" vertical="center"/>
    </xf>
    <xf numFmtId="2" fontId="21" fillId="0" borderId="27" xfId="1" applyNumberFormat="1" applyFont="1" applyBorder="1" applyAlignment="1">
      <alignment horizontal="right"/>
    </xf>
    <xf numFmtId="2" fontId="45" fillId="0" borderId="49" xfId="1" applyNumberFormat="1" applyFont="1" applyBorder="1" applyAlignment="1">
      <alignment horizontal="right"/>
    </xf>
    <xf numFmtId="2" fontId="21" fillId="0" borderId="66" xfId="2" applyNumberFormat="1" applyFont="1" applyBorder="1" applyAlignment="1">
      <alignment horizontal="right"/>
    </xf>
    <xf numFmtId="2" fontId="45" fillId="0" borderId="53" xfId="2" applyNumberFormat="1" applyFont="1" applyBorder="1" applyAlignment="1">
      <alignment horizontal="right"/>
    </xf>
    <xf numFmtId="2" fontId="21" fillId="0" borderId="27" xfId="0" applyNumberFormat="1" applyFont="1" applyBorder="1" applyAlignment="1">
      <alignment vertical="center"/>
    </xf>
    <xf numFmtId="2" fontId="45" fillId="0" borderId="49" xfId="0" applyNumberFormat="1" applyFont="1" applyBorder="1" applyAlignment="1">
      <alignment vertical="center"/>
    </xf>
    <xf numFmtId="0" fontId="44" fillId="0" borderId="49" xfId="0" applyFont="1" applyBorder="1"/>
    <xf numFmtId="0" fontId="17" fillId="0" borderId="1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2" fontId="21" fillId="0" borderId="18" xfId="0" applyNumberFormat="1" applyFont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23" fillId="0" borderId="18" xfId="0" applyNumberFormat="1" applyFont="1" applyBorder="1" applyAlignment="1">
      <alignment horizontal="right"/>
    </xf>
    <xf numFmtId="2" fontId="45" fillId="0" borderId="46" xfId="0" applyNumberFormat="1" applyFont="1" applyBorder="1" applyAlignment="1">
      <alignment vertical="center"/>
    </xf>
    <xf numFmtId="2" fontId="21" fillId="0" borderId="77" xfId="0" applyNumberFormat="1" applyFont="1" applyBorder="1" applyAlignment="1">
      <alignment horizontal="right"/>
    </xf>
    <xf numFmtId="2" fontId="45" fillId="0" borderId="16" xfId="0" applyNumberFormat="1" applyFont="1" applyBorder="1" applyAlignment="1">
      <alignment vertical="center"/>
    </xf>
    <xf numFmtId="0" fontId="41" fillId="0" borderId="24" xfId="0" applyFont="1" applyBorder="1" applyAlignment="1">
      <alignment horizontal="left"/>
    </xf>
    <xf numFmtId="0" fontId="23" fillId="0" borderId="17" xfId="0" applyFont="1" applyBorder="1" applyAlignment="1">
      <alignment horizontal="center" vertical="center"/>
    </xf>
    <xf numFmtId="0" fontId="16" fillId="0" borderId="35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0" fontId="17" fillId="0" borderId="18" xfId="0" applyFont="1" applyBorder="1"/>
    <xf numFmtId="0" fontId="17" fillId="0" borderId="46" xfId="0" applyFont="1" applyBorder="1"/>
    <xf numFmtId="0" fontId="16" fillId="0" borderId="20" xfId="0" applyFont="1" applyBorder="1"/>
    <xf numFmtId="0" fontId="16" fillId="0" borderId="36" xfId="0" applyFont="1" applyBorder="1"/>
    <xf numFmtId="0" fontId="16" fillId="0" borderId="19" xfId="0" applyFont="1" applyBorder="1"/>
    <xf numFmtId="0" fontId="16" fillId="0" borderId="65" xfId="0" applyFont="1" applyBorder="1"/>
    <xf numFmtId="0" fontId="35" fillId="0" borderId="49" xfId="0" applyFont="1" applyBorder="1" applyAlignment="1">
      <alignment horizontal="left"/>
    </xf>
    <xf numFmtId="0" fontId="35" fillId="0" borderId="50" xfId="0" applyFont="1" applyBorder="1"/>
    <xf numFmtId="0" fontId="35" fillId="0" borderId="69" xfId="0" applyFont="1" applyBorder="1"/>
    <xf numFmtId="0" fontId="35" fillId="0" borderId="52" xfId="0" applyFont="1" applyBorder="1"/>
    <xf numFmtId="0" fontId="34" fillId="0" borderId="52" xfId="0" applyFont="1" applyBorder="1"/>
    <xf numFmtId="0" fontId="34" fillId="0" borderId="63" xfId="0" applyFont="1" applyBorder="1"/>
    <xf numFmtId="0" fontId="35" fillId="0" borderId="63" xfId="0" applyFont="1" applyBorder="1"/>
    <xf numFmtId="2" fontId="4" fillId="0" borderId="58" xfId="0" applyNumberFormat="1" applyFont="1" applyBorder="1" applyAlignment="1">
      <alignment horizontal="left"/>
    </xf>
    <xf numFmtId="1" fontId="25" fillId="0" borderId="58" xfId="0" applyNumberFormat="1" applyFont="1" applyBorder="1" applyAlignment="1">
      <alignment horizontal="center" vertical="center" wrapText="1"/>
    </xf>
    <xf numFmtId="1" fontId="25" fillId="0" borderId="53" xfId="0" applyNumberFormat="1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23" fillId="0" borderId="6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" fontId="25" fillId="0" borderId="58" xfId="0" applyNumberFormat="1" applyFont="1" applyBorder="1" applyAlignment="1">
      <alignment horizontal="center" vertical="justify" wrapText="1"/>
    </xf>
    <xf numFmtId="1" fontId="25" fillId="0" borderId="53" xfId="0" applyNumberFormat="1" applyFont="1" applyBorder="1" applyAlignment="1">
      <alignment horizontal="center" vertical="justify" wrapText="1"/>
    </xf>
    <xf numFmtId="1" fontId="17" fillId="0" borderId="58" xfId="0" applyNumberFormat="1" applyFont="1" applyBorder="1" applyAlignment="1">
      <alignment horizontal="center" vertical="center" wrapText="1"/>
    </xf>
    <xf numFmtId="1" fontId="17" fillId="0" borderId="53" xfId="0" applyNumberFormat="1" applyFont="1" applyBorder="1" applyAlignment="1">
      <alignment horizontal="center" vertical="center" wrapText="1"/>
    </xf>
    <xf numFmtId="1" fontId="17" fillId="0" borderId="52" xfId="0" applyNumberFormat="1" applyFont="1" applyBorder="1" applyAlignment="1">
      <alignment horizontal="left" vertical="center" wrapText="1"/>
    </xf>
    <xf numFmtId="1" fontId="17" fillId="0" borderId="63" xfId="0" applyNumberFormat="1" applyFont="1" applyBorder="1" applyAlignment="1">
      <alignment horizontal="left" vertical="center" wrapText="1"/>
    </xf>
    <xf numFmtId="1" fontId="17" fillId="0" borderId="58" xfId="0" applyNumberFormat="1" applyFont="1" applyBorder="1" applyAlignment="1">
      <alignment horizontal="left" vertical="center" wrapText="1"/>
    </xf>
    <xf numFmtId="1" fontId="17" fillId="0" borderId="53" xfId="0" applyNumberFormat="1" applyFont="1" applyBorder="1" applyAlignment="1">
      <alignment horizontal="left" vertical="center" wrapText="1"/>
    </xf>
    <xf numFmtId="1" fontId="17" fillId="0" borderId="51" xfId="0" applyNumberFormat="1" applyFont="1" applyBorder="1" applyAlignment="1">
      <alignment horizontal="left" vertical="center" wrapText="1"/>
    </xf>
    <xf numFmtId="1" fontId="17" fillId="0" borderId="67" xfId="0" applyNumberFormat="1" applyFont="1" applyBorder="1" applyAlignment="1">
      <alignment horizontal="left" vertical="center" wrapText="1"/>
    </xf>
    <xf numFmtId="1" fontId="17" fillId="0" borderId="48" xfId="0" applyNumberFormat="1" applyFont="1" applyBorder="1" applyAlignment="1">
      <alignment horizontal="left" vertical="center" wrapText="1"/>
    </xf>
    <xf numFmtId="1" fontId="17" fillId="0" borderId="51" xfId="0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17" fillId="0" borderId="35" xfId="0" applyNumberFormat="1" applyFont="1" applyBorder="1" applyAlignment="1">
      <alignment horizontal="left" vertical="center"/>
    </xf>
    <xf numFmtId="1" fontId="17" fillId="0" borderId="15" xfId="0" applyNumberFormat="1" applyFont="1" applyBorder="1" applyAlignment="1">
      <alignment horizontal="left" vertical="center"/>
    </xf>
    <xf numFmtId="1" fontId="17" fillId="0" borderId="67" xfId="0" applyNumberFormat="1" applyFont="1" applyBorder="1" applyAlignment="1">
      <alignment horizontal="justify" vertical="justify" wrapText="1"/>
    </xf>
    <xf numFmtId="1" fontId="17" fillId="0" borderId="48" xfId="0" applyNumberFormat="1" applyFont="1" applyBorder="1" applyAlignment="1">
      <alignment horizontal="justify" vertical="justify" wrapText="1"/>
    </xf>
    <xf numFmtId="1" fontId="17" fillId="0" borderId="67" xfId="0" applyNumberFormat="1" applyFont="1" applyBorder="1" applyAlignment="1">
      <alignment horizontal="center" vertical="center" wrapText="1"/>
    </xf>
    <xf numFmtId="1" fontId="17" fillId="0" borderId="48" xfId="0" applyNumberFormat="1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1" fontId="17" fillId="0" borderId="47" xfId="0" applyNumberFormat="1" applyFont="1" applyBorder="1" applyAlignment="1">
      <alignment horizontal="center" vertical="center" wrapText="1"/>
    </xf>
    <xf numFmtId="1" fontId="17" fillId="0" borderId="58" xfId="0" applyNumberFormat="1" applyFont="1" applyBorder="1" applyAlignment="1">
      <alignment horizontal="center" vertical="justify" wrapText="1"/>
    </xf>
    <xf numFmtId="1" fontId="17" fillId="0" borderId="53" xfId="0" applyNumberFormat="1" applyFont="1" applyBorder="1" applyAlignment="1">
      <alignment horizontal="center" vertical="justify" wrapText="1"/>
    </xf>
    <xf numFmtId="0" fontId="25" fillId="0" borderId="58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55" fillId="0" borderId="0" xfId="0" applyFont="1" applyAlignment="1">
      <alignment horizontal="left"/>
    </xf>
    <xf numFmtId="0" fontId="56" fillId="0" borderId="41" xfId="0" applyFont="1" applyBorder="1" applyAlignment="1">
      <alignment horizontal="center" vertical="center"/>
    </xf>
    <xf numFmtId="0" fontId="56" fillId="0" borderId="76" xfId="0" applyFont="1" applyBorder="1" applyAlignment="1">
      <alignment horizontal="center" vertical="center"/>
    </xf>
    <xf numFmtId="0" fontId="25" fillId="0" borderId="58" xfId="0" applyFont="1" applyBorder="1" applyAlignment="1">
      <alignment horizontal="justify" vertical="justify" wrapText="1"/>
    </xf>
    <xf numFmtId="0" fontId="25" fillId="0" borderId="53" xfId="0" applyFont="1" applyBorder="1" applyAlignment="1">
      <alignment horizontal="justify" vertical="justify" wrapText="1"/>
    </xf>
    <xf numFmtId="0" fontId="25" fillId="0" borderId="3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1" fontId="25" fillId="0" borderId="47" xfId="0" applyNumberFormat="1" applyFont="1" applyBorder="1" applyAlignment="1">
      <alignment horizontal="center" vertical="center" wrapText="1"/>
    </xf>
    <xf numFmtId="1" fontId="25" fillId="0" borderId="48" xfId="0" applyNumberFormat="1" applyFont="1" applyBorder="1" applyAlignment="1">
      <alignment horizontal="center" vertical="center" wrapText="1"/>
    </xf>
    <xf numFmtId="1" fontId="25" fillId="0" borderId="51" xfId="0" applyNumberFormat="1" applyFont="1" applyBorder="1" applyAlignment="1">
      <alignment horizontal="center" vertical="center" wrapText="1"/>
    </xf>
    <xf numFmtId="1" fontId="25" fillId="0" borderId="67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1" fontId="55" fillId="0" borderId="0" xfId="0" applyNumberFormat="1" applyFont="1" applyAlignment="1">
      <alignment horizontal="left"/>
    </xf>
    <xf numFmtId="1" fontId="25" fillId="0" borderId="67" xfId="0" applyNumberFormat="1" applyFont="1" applyBorder="1" applyAlignment="1">
      <alignment horizontal="center" vertical="center"/>
    </xf>
    <xf numFmtId="1" fontId="25" fillId="0" borderId="22" xfId="0" applyNumberFormat="1" applyFont="1" applyBorder="1" applyAlignment="1">
      <alignment horizontal="center" vertical="center"/>
    </xf>
    <xf numFmtId="1" fontId="25" fillId="0" borderId="67" xfId="0" applyNumberFormat="1" applyFont="1" applyBorder="1" applyAlignment="1">
      <alignment horizontal="justify" vertical="justify" wrapText="1"/>
    </xf>
    <xf numFmtId="1" fontId="25" fillId="0" borderId="48" xfId="0" applyNumberFormat="1" applyFont="1" applyBorder="1" applyAlignment="1">
      <alignment horizontal="justify" vertical="justify" wrapText="1"/>
    </xf>
    <xf numFmtId="1" fontId="25" fillId="0" borderId="58" xfId="0" applyNumberFormat="1" applyFont="1" applyBorder="1" applyAlignment="1">
      <alignment horizontal="left" vertical="center" wrapText="1"/>
    </xf>
    <xf numFmtId="1" fontId="25" fillId="0" borderId="51" xfId="0" applyNumberFormat="1" applyFont="1" applyBorder="1" applyAlignment="1">
      <alignment horizontal="left" vertical="center" wrapText="1"/>
    </xf>
    <xf numFmtId="1" fontId="25" fillId="0" borderId="53" xfId="0" applyNumberFormat="1" applyFont="1" applyBorder="1" applyAlignment="1">
      <alignment horizontal="left" vertical="center" wrapText="1"/>
    </xf>
    <xf numFmtId="1" fontId="25" fillId="0" borderId="47" xfId="0" applyNumberFormat="1" applyFont="1" applyBorder="1" applyAlignment="1">
      <alignment horizontal="left" vertical="center" wrapText="1"/>
    </xf>
    <xf numFmtId="1" fontId="25" fillId="0" borderId="52" xfId="0" applyNumberFormat="1" applyFont="1" applyBorder="1" applyAlignment="1">
      <alignment horizontal="left" vertical="center" wrapText="1"/>
    </xf>
    <xf numFmtId="1" fontId="25" fillId="0" borderId="69" xfId="0" applyNumberFormat="1" applyFont="1" applyBorder="1" applyAlignment="1">
      <alignment horizontal="left" vertical="center" wrapText="1"/>
    </xf>
    <xf numFmtId="1" fontId="25" fillId="0" borderId="67" xfId="0" applyNumberFormat="1" applyFont="1" applyBorder="1" applyAlignment="1">
      <alignment horizontal="left" vertical="center" wrapText="1"/>
    </xf>
    <xf numFmtId="1" fontId="25" fillId="0" borderId="48" xfId="0" applyNumberFormat="1" applyFont="1" applyBorder="1" applyAlignment="1">
      <alignment horizontal="left" vertical="center" wrapText="1"/>
    </xf>
    <xf numFmtId="1" fontId="54" fillId="0" borderId="0" xfId="0" applyNumberFormat="1" applyFont="1" applyAlignment="1">
      <alignment horizontal="left"/>
    </xf>
    <xf numFmtId="1" fontId="25" fillId="0" borderId="36" xfId="0" applyNumberFormat="1" applyFont="1" applyBorder="1" applyAlignment="1">
      <alignment horizontal="left" vertical="center"/>
    </xf>
    <xf numFmtId="1" fontId="25" fillId="0" borderId="70" xfId="0" applyNumberFormat="1" applyFont="1" applyBorder="1" applyAlignment="1">
      <alignment horizontal="left" vertical="center"/>
    </xf>
    <xf numFmtId="1" fontId="25" fillId="0" borderId="58" xfId="0" applyNumberFormat="1" applyFont="1" applyBorder="1" applyAlignment="1">
      <alignment horizontal="justify" vertical="justify" wrapText="1"/>
    </xf>
    <xf numFmtId="1" fontId="25" fillId="0" borderId="51" xfId="0" applyNumberFormat="1" applyFont="1" applyBorder="1" applyAlignment="1">
      <alignment horizontal="justify" vertical="justify" wrapText="1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35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5" fillId="0" borderId="67" xfId="0" applyFont="1" applyBorder="1" applyAlignment="1">
      <alignment horizontal="justify" vertical="justify" wrapText="1"/>
    </xf>
    <xf numFmtId="0" fontId="25" fillId="0" borderId="48" xfId="0" applyFont="1" applyBorder="1" applyAlignment="1">
      <alignment horizontal="justify" vertical="justify" wrapText="1"/>
    </xf>
    <xf numFmtId="1" fontId="25" fillId="0" borderId="37" xfId="0" applyNumberFormat="1" applyFont="1" applyBorder="1" applyAlignment="1">
      <alignment horizontal="left" vertical="center" wrapText="1"/>
    </xf>
    <xf numFmtId="1" fontId="25" fillId="0" borderId="39" xfId="0" applyNumberFormat="1" applyFont="1" applyBorder="1" applyAlignment="1">
      <alignment horizontal="left" vertical="center" wrapText="1"/>
    </xf>
    <xf numFmtId="0" fontId="35" fillId="0" borderId="4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35" fillId="0" borderId="76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7" fillId="0" borderId="41" xfId="0" applyFont="1" applyBorder="1" applyAlignment="1">
      <alignment horizontal="left" vertical="center"/>
    </xf>
    <xf numFmtId="0" fontId="17" fillId="0" borderId="76" xfId="0" applyFont="1" applyBorder="1" applyAlignment="1">
      <alignment horizontal="left" vertical="center"/>
    </xf>
    <xf numFmtId="0" fontId="1" fillId="0" borderId="71" xfId="0" applyFont="1" applyBorder="1" applyAlignment="1">
      <alignment horizontal="justify" vertical="justify" wrapText="1"/>
    </xf>
    <xf numFmtId="0" fontId="1" fillId="0" borderId="55" xfId="0" applyFont="1" applyBorder="1" applyAlignment="1">
      <alignment horizontal="justify" vertical="justify" wrapText="1"/>
    </xf>
    <xf numFmtId="0" fontId="1" fillId="0" borderId="5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1" fontId="17" fillId="0" borderId="56" xfId="0" applyNumberFormat="1" applyFont="1" applyBorder="1" applyAlignment="1">
      <alignment horizontal="left" vertical="center" wrapText="1"/>
    </xf>
    <xf numFmtId="1" fontId="17" fillId="0" borderId="32" xfId="0" applyNumberFormat="1" applyFont="1" applyBorder="1" applyAlignment="1">
      <alignment horizontal="left" vertical="center" wrapText="1"/>
    </xf>
    <xf numFmtId="0" fontId="17" fillId="0" borderId="71" xfId="0" applyFont="1" applyBorder="1" applyAlignment="1">
      <alignment horizontal="justify" vertical="justify" wrapText="1"/>
    </xf>
    <xf numFmtId="0" fontId="17" fillId="0" borderId="54" xfId="0" applyFont="1" applyBorder="1" applyAlignment="1">
      <alignment horizontal="justify" vertical="justify" wrapText="1"/>
    </xf>
    <xf numFmtId="0" fontId="17" fillId="0" borderId="55" xfId="0" applyFont="1" applyBorder="1" applyAlignment="1">
      <alignment horizontal="left" vertical="center" wrapText="1"/>
    </xf>
    <xf numFmtId="0" fontId="17" fillId="0" borderId="71" xfId="0" applyFont="1" applyBorder="1" applyAlignment="1">
      <alignment horizontal="left" vertical="center" wrapText="1"/>
    </xf>
    <xf numFmtId="1" fontId="17" fillId="0" borderId="31" xfId="0" applyNumberFormat="1" applyFont="1" applyBorder="1" applyAlignment="1">
      <alignment horizontal="left" vertical="center" wrapText="1"/>
    </xf>
    <xf numFmtId="0" fontId="17" fillId="0" borderId="5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justify" vertical="justify" wrapText="1"/>
    </xf>
    <xf numFmtId="0" fontId="1" fillId="0" borderId="47" xfId="0" applyFont="1" applyBorder="1" applyAlignment="1">
      <alignment horizontal="justify" vertical="justify" wrapText="1"/>
    </xf>
    <xf numFmtId="0" fontId="1" fillId="0" borderId="48" xfId="0" applyFont="1" applyBorder="1" applyAlignment="1">
      <alignment horizontal="justify" vertical="justify" wrapText="1"/>
    </xf>
    <xf numFmtId="0" fontId="6" fillId="0" borderId="0" xfId="0" applyFont="1" applyAlignment="1">
      <alignment horizontal="left"/>
    </xf>
    <xf numFmtId="0" fontId="23" fillId="0" borderId="4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1" fontId="17" fillId="0" borderId="47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67" xfId="0" applyFont="1" applyBorder="1" applyAlignment="1">
      <alignment horizontal="justify" vertical="justify" wrapText="1"/>
    </xf>
    <xf numFmtId="0" fontId="17" fillId="0" borderId="47" xfId="0" applyFont="1" applyBorder="1" applyAlignment="1">
      <alignment horizontal="justify" vertical="justify" wrapText="1"/>
    </xf>
    <xf numFmtId="0" fontId="17" fillId="0" borderId="67" xfId="0" applyFont="1" applyBorder="1" applyAlignment="1">
      <alignment horizontal="center" vertical="center" wrapText="1"/>
    </xf>
    <xf numFmtId="0" fontId="49" fillId="0" borderId="0" xfId="0" applyFont="1" applyFill="1" applyAlignment="1">
      <alignment horizontal="left"/>
    </xf>
    <xf numFmtId="0" fontId="21" fillId="0" borderId="0" xfId="0" applyFont="1" applyFill="1"/>
    <xf numFmtId="0" fontId="46" fillId="0" borderId="67" xfId="0" applyFont="1" applyFill="1" applyBorder="1" applyAlignment="1">
      <alignment horizontal="center"/>
    </xf>
    <xf numFmtId="1" fontId="25" fillId="0" borderId="58" xfId="0" applyNumberFormat="1" applyFont="1" applyFill="1" applyBorder="1" applyAlignment="1">
      <alignment horizontal="center" vertical="justify" wrapText="1"/>
    </xf>
    <xf numFmtId="1" fontId="25" fillId="0" borderId="51" xfId="0" applyNumberFormat="1" applyFont="1" applyFill="1" applyBorder="1" applyAlignment="1">
      <alignment horizontal="center" vertical="justify" wrapText="1"/>
    </xf>
    <xf numFmtId="1" fontId="25" fillId="0" borderId="58" xfId="0" applyNumberFormat="1" applyFont="1" applyFill="1" applyBorder="1" applyAlignment="1">
      <alignment horizontal="center" vertical="center" wrapText="1"/>
    </xf>
    <xf numFmtId="1" fontId="25" fillId="0" borderId="53" xfId="0" applyNumberFormat="1" applyFont="1" applyFill="1" applyBorder="1" applyAlignment="1">
      <alignment horizontal="center" vertical="center" wrapText="1"/>
    </xf>
    <xf numFmtId="1" fontId="25" fillId="0" borderId="51" xfId="0" applyNumberFormat="1" applyFont="1" applyFill="1" applyBorder="1" applyAlignment="1">
      <alignment horizontal="center" vertical="center" wrapText="1"/>
    </xf>
    <xf numFmtId="1" fontId="23" fillId="0" borderId="58" xfId="0" applyNumberFormat="1" applyFont="1" applyFill="1" applyBorder="1" applyAlignment="1">
      <alignment horizontal="center" vertical="center" wrapText="1"/>
    </xf>
    <xf numFmtId="1" fontId="23" fillId="0" borderId="53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46" fillId="0" borderId="22" xfId="0" applyFont="1" applyFill="1" applyBorder="1" applyAlignment="1">
      <alignment horizontal="center"/>
    </xf>
    <xf numFmtId="1" fontId="38" fillId="0" borderId="49" xfId="0" applyNumberFormat="1" applyFont="1" applyFill="1" applyBorder="1" applyAlignment="1">
      <alignment horizontal="center" vertical="justify" wrapText="1"/>
    </xf>
    <xf numFmtId="1" fontId="38" fillId="0" borderId="58" xfId="0" applyNumberFormat="1" applyFont="1" applyFill="1" applyBorder="1" applyAlignment="1">
      <alignment horizontal="center" vertical="justify" wrapText="1"/>
    </xf>
    <xf numFmtId="1" fontId="38" fillId="0" borderId="53" xfId="0" applyNumberFormat="1" applyFont="1" applyFill="1" applyBorder="1" applyAlignment="1">
      <alignment horizontal="center" vertical="justify" wrapText="1"/>
    </xf>
    <xf numFmtId="0" fontId="36" fillId="0" borderId="0" xfId="0" applyFont="1" applyFill="1"/>
    <xf numFmtId="0" fontId="19" fillId="0" borderId="71" xfId="0" applyFont="1" applyFill="1" applyBorder="1" applyAlignment="1">
      <alignment horizontal="left"/>
    </xf>
    <xf numFmtId="0" fontId="19" fillId="0" borderId="57" xfId="0" applyFont="1" applyFill="1" applyBorder="1" applyAlignment="1">
      <alignment horizontal="left"/>
    </xf>
    <xf numFmtId="0" fontId="20" fillId="0" borderId="57" xfId="0" applyFont="1" applyFill="1" applyBorder="1" applyAlignment="1">
      <alignment horizontal="left"/>
    </xf>
    <xf numFmtId="0" fontId="20" fillId="0" borderId="28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20" fillId="0" borderId="54" xfId="0" applyFont="1" applyFill="1" applyBorder="1" applyAlignment="1">
      <alignment horizontal="left"/>
    </xf>
    <xf numFmtId="0" fontId="20" fillId="0" borderId="35" xfId="0" applyFont="1" applyFill="1" applyBorder="1" applyAlignment="1">
      <alignment horizontal="left"/>
    </xf>
    <xf numFmtId="0" fontId="20" fillId="0" borderId="74" xfId="0" applyFont="1" applyFill="1" applyBorder="1" applyAlignment="1">
      <alignment horizontal="left"/>
    </xf>
    <xf numFmtId="0" fontId="19" fillId="0" borderId="46" xfId="0" applyFont="1" applyFill="1" applyBorder="1" applyAlignment="1">
      <alignment horizontal="left"/>
    </xf>
    <xf numFmtId="0" fontId="20" fillId="0" borderId="46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0" fontId="19" fillId="0" borderId="68" xfId="0" applyFont="1" applyFill="1" applyBorder="1" applyAlignment="1">
      <alignment horizontal="left"/>
    </xf>
    <xf numFmtId="0" fontId="20" fillId="0" borderId="68" xfId="0" applyFont="1" applyFill="1" applyBorder="1" applyAlignment="1">
      <alignment horizontal="left"/>
    </xf>
    <xf numFmtId="0" fontId="20" fillId="0" borderId="27" xfId="0" applyFont="1" applyFill="1" applyBorder="1" applyAlignment="1">
      <alignment horizontal="left"/>
    </xf>
    <xf numFmtId="0" fontId="21" fillId="0" borderId="66" xfId="0" applyFont="1" applyFill="1" applyBorder="1" applyAlignment="1">
      <alignment horizontal="left"/>
    </xf>
    <xf numFmtId="0" fontId="20" fillId="0" borderId="66" xfId="0" applyFont="1" applyFill="1" applyBorder="1" applyAlignment="1">
      <alignment horizontal="left"/>
    </xf>
    <xf numFmtId="0" fontId="20" fillId="0" borderId="77" xfId="0" applyFont="1" applyFill="1" applyBorder="1" applyAlignment="1">
      <alignment horizontal="left"/>
    </xf>
    <xf numFmtId="0" fontId="45" fillId="0" borderId="58" xfId="0" applyFont="1" applyFill="1" applyBorder="1" applyAlignment="1">
      <alignment horizontal="left"/>
    </xf>
    <xf numFmtId="0" fontId="45" fillId="0" borderId="49" xfId="0" applyFont="1" applyFill="1" applyBorder="1" applyAlignment="1">
      <alignment horizontal="left"/>
    </xf>
    <xf numFmtId="0" fontId="45" fillId="0" borderId="53" xfId="0" applyFont="1" applyFill="1" applyBorder="1" applyAlignment="1">
      <alignment horizontal="left"/>
    </xf>
    <xf numFmtId="0" fontId="45" fillId="0" borderId="63" xfId="0" applyFont="1" applyFill="1" applyBorder="1" applyAlignment="1">
      <alignment horizontal="left"/>
    </xf>
    <xf numFmtId="0" fontId="45" fillId="0" borderId="51" xfId="0" applyFont="1" applyFill="1" applyBorder="1" applyAlignment="1">
      <alignment horizontal="left"/>
    </xf>
    <xf numFmtId="0" fontId="42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49" fillId="0" borderId="0" xfId="0" applyFont="1" applyFill="1" applyAlignment="1">
      <alignment horizontal="left"/>
    </xf>
    <xf numFmtId="0" fontId="35" fillId="0" borderId="41" xfId="0" applyFont="1" applyFill="1" applyBorder="1" applyAlignment="1">
      <alignment horizontal="center"/>
    </xf>
    <xf numFmtId="1" fontId="25" fillId="0" borderId="48" xfId="0" applyNumberFormat="1" applyFont="1" applyFill="1" applyBorder="1" applyAlignment="1">
      <alignment horizontal="center" vertical="justify" wrapText="1"/>
    </xf>
    <xf numFmtId="1" fontId="25" fillId="0" borderId="48" xfId="0" applyNumberFormat="1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left"/>
    </xf>
    <xf numFmtId="0" fontId="20" fillId="0" borderId="54" xfId="0" applyFont="1" applyFill="1" applyBorder="1"/>
    <xf numFmtId="0" fontId="20" fillId="0" borderId="56" xfId="0" applyFont="1" applyFill="1" applyBorder="1"/>
    <xf numFmtId="0" fontId="20" fillId="0" borderId="72" xfId="0" applyFont="1" applyFill="1" applyBorder="1"/>
    <xf numFmtId="0" fontId="20" fillId="0" borderId="35" xfId="0" applyFont="1" applyFill="1" applyBorder="1"/>
    <xf numFmtId="0" fontId="20" fillId="0" borderId="55" xfId="0" applyFont="1" applyFill="1" applyBorder="1"/>
    <xf numFmtId="0" fontId="19" fillId="0" borderId="15" xfId="0" applyFont="1" applyFill="1" applyBorder="1" applyAlignment="1">
      <alignment horizontal="left"/>
    </xf>
    <xf numFmtId="0" fontId="20" fillId="0" borderId="16" xfId="0" applyFont="1" applyFill="1" applyBorder="1"/>
    <xf numFmtId="0" fontId="20" fillId="0" borderId="4" xfId="0" applyFont="1" applyFill="1" applyBorder="1"/>
    <xf numFmtId="0" fontId="20" fillId="0" borderId="13" xfId="0" applyFont="1" applyFill="1" applyBorder="1"/>
    <xf numFmtId="0" fontId="20" fillId="0" borderId="15" xfId="0" applyFont="1" applyFill="1" applyBorder="1"/>
    <xf numFmtId="0" fontId="20" fillId="0" borderId="18" xfId="0" applyFont="1" applyFill="1" applyBorder="1"/>
    <xf numFmtId="0" fontId="19" fillId="0" borderId="27" xfId="0" applyFont="1" applyFill="1" applyBorder="1" applyAlignment="1">
      <alignment horizontal="left"/>
    </xf>
    <xf numFmtId="0" fontId="20" fillId="0" borderId="66" xfId="0" applyFont="1" applyFill="1" applyBorder="1"/>
    <xf numFmtId="0" fontId="20" fillId="0" borderId="20" xfId="0" applyFont="1" applyFill="1" applyBorder="1"/>
    <xf numFmtId="0" fontId="20" fillId="0" borderId="36" xfId="0" applyFont="1" applyFill="1" applyBorder="1"/>
    <xf numFmtId="0" fontId="20" fillId="0" borderId="14" xfId="0" applyFont="1" applyFill="1" applyBorder="1"/>
    <xf numFmtId="0" fontId="20" fillId="0" borderId="77" xfId="0" applyFont="1" applyFill="1" applyBorder="1"/>
    <xf numFmtId="0" fontId="20" fillId="0" borderId="27" xfId="0" applyFont="1" applyFill="1" applyBorder="1"/>
    <xf numFmtId="0" fontId="53" fillId="0" borderId="49" xfId="0" applyFont="1" applyFill="1" applyBorder="1" applyAlignment="1">
      <alignment horizontal="left"/>
    </xf>
    <xf numFmtId="0" fontId="52" fillId="0" borderId="53" xfId="0" applyFont="1" applyFill="1" applyBorder="1"/>
    <xf numFmtId="0" fontId="52" fillId="0" borderId="51" xfId="0" applyFont="1" applyFill="1" applyBorder="1"/>
    <xf numFmtId="0" fontId="52" fillId="0" borderId="49" xfId="0" applyFont="1" applyFill="1" applyBorder="1"/>
    <xf numFmtId="0" fontId="52" fillId="0" borderId="0" xfId="0" applyFont="1" applyFill="1"/>
    <xf numFmtId="0" fontId="49" fillId="0" borderId="41" xfId="0" applyFont="1" applyFill="1" applyBorder="1" applyAlignment="1">
      <alignment horizontal="left"/>
    </xf>
    <xf numFmtId="1" fontId="25" fillId="0" borderId="53" xfId="0" applyNumberFormat="1" applyFont="1" applyFill="1" applyBorder="1" applyAlignment="1">
      <alignment horizontal="center" vertical="justify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38" fillId="0" borderId="49" xfId="0" applyFont="1" applyFill="1" applyBorder="1" applyAlignment="1">
      <alignment horizontal="fill" vertical="justify" wrapText="1"/>
    </xf>
    <xf numFmtId="0" fontId="39" fillId="0" borderId="0" xfId="0" applyFont="1" applyFill="1" applyAlignment="1">
      <alignment horizontal="fill" vertical="justify" wrapText="1"/>
    </xf>
    <xf numFmtId="0" fontId="27" fillId="0" borderId="28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0" fontId="26" fillId="0" borderId="28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74" xfId="0" applyFont="1" applyFill="1" applyBorder="1"/>
    <xf numFmtId="0" fontId="26" fillId="0" borderId="7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0" fontId="26" fillId="0" borderId="74" xfId="0" applyFont="1" applyFill="1" applyBorder="1" applyAlignment="1">
      <alignment horizontal="left"/>
    </xf>
    <xf numFmtId="0" fontId="26" fillId="0" borderId="57" xfId="0" applyFont="1" applyFill="1" applyBorder="1" applyAlignment="1">
      <alignment horizontal="left"/>
    </xf>
    <xf numFmtId="0" fontId="25" fillId="0" borderId="71" xfId="0" applyFont="1" applyFill="1" applyBorder="1" applyAlignment="1">
      <alignment horizontal="left"/>
    </xf>
    <xf numFmtId="0" fontId="25" fillId="0" borderId="35" xfId="0" applyFont="1" applyFill="1" applyBorder="1" applyAlignment="1">
      <alignment horizontal="left"/>
    </xf>
    <xf numFmtId="0" fontId="26" fillId="0" borderId="57" xfId="0" applyFont="1" applyFill="1" applyBorder="1"/>
    <xf numFmtId="0" fontId="26" fillId="0" borderId="3" xfId="0" applyFont="1" applyFill="1" applyBorder="1"/>
    <xf numFmtId="0" fontId="51" fillId="0" borderId="15" xfId="0" applyFont="1" applyFill="1" applyBorder="1" applyAlignment="1">
      <alignment horizontal="left"/>
    </xf>
    <xf numFmtId="0" fontId="26" fillId="0" borderId="16" xfId="0" applyFont="1" applyFill="1" applyBorder="1" applyAlignment="1">
      <alignment horizontal="left"/>
    </xf>
    <xf numFmtId="0" fontId="26" fillId="0" borderId="15" xfId="0" applyFont="1" applyFill="1" applyBorder="1" applyAlignment="1">
      <alignment horizontal="left"/>
    </xf>
    <xf numFmtId="0" fontId="26" fillId="0" borderId="4" xfId="0" applyFont="1" applyFill="1" applyBorder="1"/>
    <xf numFmtId="0" fontId="26" fillId="0" borderId="18" xfId="0" applyFont="1" applyFill="1" applyBorder="1"/>
    <xf numFmtId="0" fontId="26" fillId="0" borderId="1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18" xfId="0" applyFont="1" applyFill="1" applyBorder="1" applyAlignment="1">
      <alignment horizontal="left"/>
    </xf>
    <xf numFmtId="0" fontId="26" fillId="0" borderId="46" xfId="0" applyFont="1" applyFill="1" applyBorder="1" applyAlignment="1">
      <alignment horizontal="left"/>
    </xf>
    <xf numFmtId="0" fontId="25" fillId="0" borderId="46" xfId="0" applyFont="1" applyFill="1" applyBorder="1" applyAlignment="1">
      <alignment horizontal="left"/>
    </xf>
    <xf numFmtId="0" fontId="25" fillId="0" borderId="15" xfId="0" applyFont="1" applyFill="1" applyBorder="1" applyAlignment="1">
      <alignment horizontal="left"/>
    </xf>
    <xf numFmtId="0" fontId="26" fillId="0" borderId="46" xfId="0" applyFont="1" applyFill="1" applyBorder="1"/>
    <xf numFmtId="0" fontId="22" fillId="0" borderId="15" xfId="0" applyFont="1" applyFill="1" applyBorder="1" applyAlignment="1">
      <alignment horizontal="left"/>
    </xf>
    <xf numFmtId="0" fontId="25" fillId="0" borderId="3" xfId="0" applyFont="1" applyFill="1" applyBorder="1"/>
    <xf numFmtId="3" fontId="22" fillId="0" borderId="16" xfId="0" applyNumberFormat="1" applyFont="1" applyFill="1" applyBorder="1" applyAlignment="1">
      <alignment horizontal="left"/>
    </xf>
    <xf numFmtId="0" fontId="27" fillId="0" borderId="15" xfId="0" applyFont="1" applyFill="1" applyBorder="1" applyAlignment="1">
      <alignment horizontal="left"/>
    </xf>
    <xf numFmtId="0" fontId="26" fillId="0" borderId="66" xfId="0" applyFont="1" applyFill="1" applyBorder="1" applyAlignment="1">
      <alignment horizontal="left"/>
    </xf>
    <xf numFmtId="0" fontId="26" fillId="0" borderId="27" xfId="0" applyFont="1" applyFill="1" applyBorder="1" applyAlignment="1">
      <alignment horizontal="left"/>
    </xf>
    <xf numFmtId="0" fontId="26" fillId="0" borderId="77" xfId="0" applyFont="1" applyFill="1" applyBorder="1" applyAlignment="1">
      <alignment horizontal="left"/>
    </xf>
    <xf numFmtId="0" fontId="26" fillId="0" borderId="68" xfId="0" applyFont="1" applyFill="1" applyBorder="1" applyAlignment="1">
      <alignment horizontal="left"/>
    </xf>
    <xf numFmtId="0" fontId="26" fillId="0" borderId="20" xfId="0" applyFont="1" applyFill="1" applyBorder="1"/>
    <xf numFmtId="0" fontId="26" fillId="0" borderId="77" xfId="0" applyFont="1" applyFill="1" applyBorder="1"/>
    <xf numFmtId="0" fontId="26" fillId="0" borderId="19" xfId="0" applyFont="1" applyFill="1" applyBorder="1" applyAlignment="1">
      <alignment horizontal="left"/>
    </xf>
    <xf numFmtId="0" fontId="26" fillId="0" borderId="65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3" fontId="22" fillId="0" borderId="66" xfId="0" applyNumberFormat="1" applyFont="1" applyFill="1" applyBorder="1" applyAlignment="1">
      <alignment horizontal="left"/>
    </xf>
    <xf numFmtId="0" fontId="26" fillId="0" borderId="17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6" xfId="0" applyFont="1" applyFill="1" applyBorder="1" applyAlignment="1">
      <alignment horizontal="left"/>
    </xf>
    <xf numFmtId="3" fontId="22" fillId="0" borderId="17" xfId="0" applyNumberFormat="1" applyFont="1" applyFill="1" applyBorder="1" applyAlignment="1">
      <alignment horizontal="left"/>
    </xf>
    <xf numFmtId="0" fontId="26" fillId="0" borderId="43" xfId="0" applyFont="1" applyFill="1" applyBorder="1"/>
    <xf numFmtId="0" fontId="26" fillId="0" borderId="45" xfId="0" applyFont="1" applyFill="1" applyBorder="1" applyAlignment="1">
      <alignment horizontal="left"/>
    </xf>
    <xf numFmtId="0" fontId="26" fillId="0" borderId="64" xfId="0" applyFont="1" applyFill="1" applyBorder="1" applyAlignment="1">
      <alignment horizontal="left"/>
    </xf>
    <xf numFmtId="0" fontId="25" fillId="0" borderId="68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left"/>
    </xf>
    <xf numFmtId="0" fontId="38" fillId="0" borderId="49" xfId="0" applyFont="1" applyFill="1" applyBorder="1" applyAlignment="1">
      <alignment horizontal="left"/>
    </xf>
    <xf numFmtId="0" fontId="38" fillId="0" borderId="53" xfId="0" applyFont="1" applyFill="1" applyBorder="1" applyAlignment="1">
      <alignment horizontal="left"/>
    </xf>
    <xf numFmtId="3" fontId="38" fillId="0" borderId="53" xfId="0" applyNumberFormat="1" applyFont="1" applyFill="1" applyBorder="1" applyAlignment="1">
      <alignment horizontal="left"/>
    </xf>
    <xf numFmtId="0" fontId="38" fillId="0" borderId="51" xfId="0" applyFont="1" applyFill="1" applyBorder="1" applyAlignment="1">
      <alignment horizontal="left"/>
    </xf>
    <xf numFmtId="0" fontId="38" fillId="0" borderId="58" xfId="0" applyFont="1" applyFill="1" applyBorder="1" applyAlignment="1">
      <alignment horizontal="left"/>
    </xf>
    <xf numFmtId="0" fontId="25" fillId="0" borderId="58" xfId="0" applyFont="1" applyFill="1" applyBorder="1" applyAlignment="1">
      <alignment horizontal="left"/>
    </xf>
    <xf numFmtId="0" fontId="25" fillId="0" borderId="49" xfId="0" applyFont="1" applyFill="1" applyBorder="1" applyAlignment="1">
      <alignment horizontal="left"/>
    </xf>
    <xf numFmtId="0" fontId="38" fillId="0" borderId="0" xfId="0" applyFont="1" applyFill="1"/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X62"/>
  <sheetViews>
    <sheetView tabSelected="1" workbookViewId="0">
      <pane xSplit="1" topLeftCell="B1" activePane="topRight" state="frozen"/>
      <selection pane="topRight" sqref="A1:XFD1048576"/>
    </sheetView>
  </sheetViews>
  <sheetFormatPr defaultRowHeight="16.5" x14ac:dyDescent="0.3"/>
  <cols>
    <col min="1" max="1" width="65" style="67" bestFit="1" customWidth="1"/>
    <col min="2" max="2" width="3.85546875" style="67" customWidth="1"/>
    <col min="3" max="12" width="14.5703125" style="67" bestFit="1" customWidth="1"/>
    <col min="13" max="14" width="14.5703125" style="284" bestFit="1" customWidth="1"/>
    <col min="15" max="50" width="14.5703125" style="67" bestFit="1" customWidth="1"/>
    <col min="51" max="16384" width="9.140625" style="67"/>
  </cols>
  <sheetData>
    <row r="1" spans="1:50" ht="18.75" thickBot="1" x14ac:dyDescent="0.4">
      <c r="A1" s="915" t="s">
        <v>387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5"/>
      <c r="Z1" s="915"/>
      <c r="AA1" s="915"/>
      <c r="AB1" s="915"/>
      <c r="AC1" s="915"/>
      <c r="AD1" s="915"/>
      <c r="AE1" s="915"/>
      <c r="AF1" s="915"/>
      <c r="AG1" s="915"/>
      <c r="AH1" s="915"/>
      <c r="AI1" s="915"/>
      <c r="AJ1" s="915"/>
      <c r="AK1" s="915"/>
      <c r="AL1" s="915"/>
      <c r="AM1" s="915"/>
      <c r="AN1" s="915"/>
      <c r="AO1" s="915"/>
      <c r="AP1" s="915"/>
      <c r="AQ1" s="915"/>
      <c r="AR1" s="915"/>
      <c r="AS1" s="915"/>
      <c r="AT1" s="915"/>
      <c r="AU1" s="915"/>
      <c r="AV1" s="915"/>
      <c r="AW1" s="915"/>
      <c r="AX1" s="915"/>
    </row>
    <row r="2" spans="1:50" ht="45" customHeight="1" thickBot="1" x14ac:dyDescent="0.35">
      <c r="A2" s="916" t="s">
        <v>0</v>
      </c>
      <c r="B2" s="416"/>
      <c r="C2" s="918" t="s">
        <v>113</v>
      </c>
      <c r="D2" s="919"/>
      <c r="E2" s="911" t="s">
        <v>114</v>
      </c>
      <c r="F2" s="912"/>
      <c r="G2" s="911" t="s">
        <v>115</v>
      </c>
      <c r="H2" s="912"/>
      <c r="I2" s="911" t="s">
        <v>116</v>
      </c>
      <c r="J2" s="912"/>
      <c r="K2" s="911" t="s">
        <v>117</v>
      </c>
      <c r="L2" s="912"/>
      <c r="M2" s="911" t="s">
        <v>118</v>
      </c>
      <c r="N2" s="912"/>
      <c r="O2" s="911" t="s">
        <v>218</v>
      </c>
      <c r="P2" s="912"/>
      <c r="Q2" s="911" t="s">
        <v>119</v>
      </c>
      <c r="R2" s="912"/>
      <c r="S2" s="911" t="s">
        <v>120</v>
      </c>
      <c r="T2" s="912"/>
      <c r="U2" s="911" t="s">
        <v>121</v>
      </c>
      <c r="V2" s="912"/>
      <c r="W2" s="911" t="s">
        <v>122</v>
      </c>
      <c r="X2" s="912"/>
      <c r="Y2" s="911" t="s">
        <v>123</v>
      </c>
      <c r="Z2" s="912"/>
      <c r="AA2" s="913" t="s">
        <v>223</v>
      </c>
      <c r="AB2" s="914"/>
      <c r="AC2" s="911" t="s">
        <v>124</v>
      </c>
      <c r="AD2" s="912"/>
      <c r="AE2" s="911" t="s">
        <v>125</v>
      </c>
      <c r="AF2" s="912"/>
      <c r="AG2" s="911" t="s">
        <v>126</v>
      </c>
      <c r="AH2" s="912"/>
      <c r="AI2" s="911" t="s">
        <v>127</v>
      </c>
      <c r="AJ2" s="912"/>
      <c r="AK2" s="911" t="s">
        <v>128</v>
      </c>
      <c r="AL2" s="912"/>
      <c r="AM2" s="911" t="s">
        <v>129</v>
      </c>
      <c r="AN2" s="912"/>
      <c r="AO2" s="911" t="s">
        <v>130</v>
      </c>
      <c r="AP2" s="912"/>
      <c r="AQ2" s="911" t="s">
        <v>131</v>
      </c>
      <c r="AR2" s="912"/>
      <c r="AS2" s="911" t="s">
        <v>132</v>
      </c>
      <c r="AT2" s="912"/>
      <c r="AU2" s="911" t="s">
        <v>133</v>
      </c>
      <c r="AV2" s="912"/>
      <c r="AW2" s="911" t="s">
        <v>134</v>
      </c>
      <c r="AX2" s="912"/>
    </row>
    <row r="3" spans="1:50" s="322" customFormat="1" ht="15" customHeight="1" thickBot="1" x14ac:dyDescent="0.35">
      <c r="A3" s="917"/>
      <c r="B3" s="425"/>
      <c r="C3" s="364" t="s">
        <v>325</v>
      </c>
      <c r="D3" s="364" t="s">
        <v>388</v>
      </c>
      <c r="E3" s="364" t="s">
        <v>325</v>
      </c>
      <c r="F3" s="364" t="s">
        <v>388</v>
      </c>
      <c r="G3" s="364" t="s">
        <v>325</v>
      </c>
      <c r="H3" s="364" t="s">
        <v>388</v>
      </c>
      <c r="I3" s="364" t="s">
        <v>325</v>
      </c>
      <c r="J3" s="364" t="s">
        <v>388</v>
      </c>
      <c r="K3" s="364" t="s">
        <v>325</v>
      </c>
      <c r="L3" s="364" t="s">
        <v>388</v>
      </c>
      <c r="M3" s="364" t="s">
        <v>325</v>
      </c>
      <c r="N3" s="364" t="s">
        <v>388</v>
      </c>
      <c r="O3" s="364" t="s">
        <v>325</v>
      </c>
      <c r="P3" s="364" t="s">
        <v>388</v>
      </c>
      <c r="Q3" s="364" t="s">
        <v>325</v>
      </c>
      <c r="R3" s="364" t="s">
        <v>388</v>
      </c>
      <c r="S3" s="364" t="s">
        <v>325</v>
      </c>
      <c r="T3" s="364" t="s">
        <v>388</v>
      </c>
      <c r="U3" s="364" t="s">
        <v>325</v>
      </c>
      <c r="V3" s="364" t="s">
        <v>388</v>
      </c>
      <c r="W3" s="364" t="s">
        <v>325</v>
      </c>
      <c r="X3" s="364" t="s">
        <v>388</v>
      </c>
      <c r="Y3" s="364" t="s">
        <v>325</v>
      </c>
      <c r="Z3" s="364" t="s">
        <v>388</v>
      </c>
      <c r="AA3" s="364" t="s">
        <v>325</v>
      </c>
      <c r="AB3" s="364" t="s">
        <v>388</v>
      </c>
      <c r="AC3" s="364" t="s">
        <v>325</v>
      </c>
      <c r="AD3" s="364" t="s">
        <v>388</v>
      </c>
      <c r="AE3" s="364" t="s">
        <v>325</v>
      </c>
      <c r="AF3" s="364" t="s">
        <v>388</v>
      </c>
      <c r="AG3" s="364" t="s">
        <v>325</v>
      </c>
      <c r="AH3" s="364" t="s">
        <v>388</v>
      </c>
      <c r="AI3" s="364" t="s">
        <v>325</v>
      </c>
      <c r="AJ3" s="364" t="s">
        <v>388</v>
      </c>
      <c r="AK3" s="364" t="s">
        <v>325</v>
      </c>
      <c r="AL3" s="364" t="s">
        <v>388</v>
      </c>
      <c r="AM3" s="364" t="s">
        <v>325</v>
      </c>
      <c r="AN3" s="364" t="s">
        <v>388</v>
      </c>
      <c r="AO3" s="364" t="s">
        <v>325</v>
      </c>
      <c r="AP3" s="364" t="s">
        <v>388</v>
      </c>
      <c r="AQ3" s="364" t="s">
        <v>325</v>
      </c>
      <c r="AR3" s="364" t="s">
        <v>388</v>
      </c>
      <c r="AS3" s="364" t="s">
        <v>325</v>
      </c>
      <c r="AT3" s="364" t="s">
        <v>388</v>
      </c>
      <c r="AU3" s="364" t="s">
        <v>325</v>
      </c>
      <c r="AV3" s="364" t="s">
        <v>388</v>
      </c>
      <c r="AW3" s="364" t="s">
        <v>325</v>
      </c>
      <c r="AX3" s="364" t="s">
        <v>388</v>
      </c>
    </row>
    <row r="4" spans="1:50" ht="15" customHeight="1" thickBot="1" x14ac:dyDescent="0.35">
      <c r="A4" s="293" t="s">
        <v>21</v>
      </c>
      <c r="B4" s="295"/>
      <c r="C4" s="680"/>
      <c r="D4" s="654"/>
      <c r="E4" s="297"/>
      <c r="F4" s="294"/>
      <c r="G4" s="297"/>
      <c r="H4" s="294"/>
      <c r="I4" s="294"/>
      <c r="J4" s="294"/>
      <c r="K4" s="294"/>
      <c r="L4" s="294"/>
      <c r="M4" s="300"/>
      <c r="N4" s="300"/>
      <c r="O4" s="294"/>
      <c r="P4" s="294"/>
      <c r="Q4" s="892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7"/>
      <c r="AX4" s="294"/>
    </row>
    <row r="5" spans="1:50" ht="25.5" customHeight="1" x14ac:dyDescent="0.3">
      <c r="A5" s="246" t="s">
        <v>22</v>
      </c>
      <c r="B5" s="292" t="s">
        <v>138</v>
      </c>
      <c r="C5" s="286">
        <v>806615</v>
      </c>
      <c r="D5" s="286">
        <v>1011352</v>
      </c>
      <c r="E5" s="286">
        <v>28427</v>
      </c>
      <c r="F5" s="286">
        <v>24708</v>
      </c>
      <c r="G5" s="298">
        <v>79320</v>
      </c>
      <c r="H5" s="290">
        <v>79153</v>
      </c>
      <c r="I5" s="288">
        <v>1040831</v>
      </c>
      <c r="J5" s="288">
        <v>1302852</v>
      </c>
      <c r="K5" s="290">
        <v>169324</v>
      </c>
      <c r="L5" s="290">
        <v>189047</v>
      </c>
      <c r="M5" s="301">
        <v>390024</v>
      </c>
      <c r="N5" s="301">
        <v>497301</v>
      </c>
      <c r="O5" s="290">
        <v>77180</v>
      </c>
      <c r="P5" s="885">
        <v>36696</v>
      </c>
      <c r="Q5" s="893">
        <v>89857</v>
      </c>
      <c r="R5" s="303">
        <v>100970</v>
      </c>
      <c r="S5" s="290">
        <v>244085</v>
      </c>
      <c r="T5" s="290"/>
      <c r="U5" s="290">
        <v>84409</v>
      </c>
      <c r="V5" s="290">
        <v>103989</v>
      </c>
      <c r="W5" s="290">
        <v>3154157</v>
      </c>
      <c r="X5" s="290">
        <v>3629795</v>
      </c>
      <c r="Y5" s="290">
        <v>2574736</v>
      </c>
      <c r="Z5" s="290">
        <v>2694075</v>
      </c>
      <c r="AA5" s="307">
        <v>144299</v>
      </c>
      <c r="AB5" s="307">
        <v>152975</v>
      </c>
      <c r="AC5" s="290">
        <v>353019</v>
      </c>
      <c r="AD5" s="290">
        <v>419954</v>
      </c>
      <c r="AE5" s="290">
        <v>768604</v>
      </c>
      <c r="AF5" s="290">
        <v>913169</v>
      </c>
      <c r="AG5" s="290">
        <v>1441460</v>
      </c>
      <c r="AH5" s="290">
        <v>1618768</v>
      </c>
      <c r="AI5" s="290">
        <v>473101</v>
      </c>
      <c r="AJ5" s="290">
        <v>574081</v>
      </c>
      <c r="AK5" s="290">
        <v>339836</v>
      </c>
      <c r="AL5" s="290">
        <v>345156</v>
      </c>
      <c r="AM5" s="310"/>
      <c r="AN5" s="310"/>
      <c r="AO5" s="655">
        <v>4125114</v>
      </c>
      <c r="AP5" s="655">
        <v>4730204</v>
      </c>
      <c r="AQ5" s="290">
        <v>144278</v>
      </c>
      <c r="AR5" s="290">
        <v>163462</v>
      </c>
      <c r="AS5" s="308">
        <v>284564</v>
      </c>
      <c r="AT5" s="308"/>
      <c r="AU5" s="290">
        <v>890743</v>
      </c>
      <c r="AV5" s="290">
        <v>1264630</v>
      </c>
      <c r="AW5" s="479">
        <v>28405465</v>
      </c>
      <c r="AX5" s="479">
        <v>24270427</v>
      </c>
    </row>
    <row r="6" spans="1:50" x14ac:dyDescent="0.3">
      <c r="A6" s="246" t="s">
        <v>139</v>
      </c>
      <c r="B6" s="296"/>
      <c r="C6" s="286">
        <v>-34463</v>
      </c>
      <c r="D6" s="286">
        <v>-36905</v>
      </c>
      <c r="E6" s="286">
        <v>-5834</v>
      </c>
      <c r="F6" s="286">
        <v>-5156</v>
      </c>
      <c r="G6" s="298">
        <v>-5523</v>
      </c>
      <c r="H6" s="290">
        <v>-5272</v>
      </c>
      <c r="I6" s="288">
        <v>-11344</v>
      </c>
      <c r="J6" s="288">
        <v>-26693</v>
      </c>
      <c r="K6" s="290">
        <v>-2634</v>
      </c>
      <c r="L6" s="290">
        <v>-3516</v>
      </c>
      <c r="M6" s="301">
        <v>-3244</v>
      </c>
      <c r="N6" s="301">
        <v>-11632</v>
      </c>
      <c r="O6" s="290">
        <v>-3568</v>
      </c>
      <c r="P6" s="885">
        <v>-1116</v>
      </c>
      <c r="Q6" s="894">
        <v>-2512</v>
      </c>
      <c r="R6" s="304">
        <v>-2669</v>
      </c>
      <c r="S6" s="290">
        <v>-12870</v>
      </c>
      <c r="T6" s="290"/>
      <c r="U6" s="290">
        <v>-3639</v>
      </c>
      <c r="V6" s="290">
        <v>-5661</v>
      </c>
      <c r="W6" s="290">
        <v>-43496</v>
      </c>
      <c r="X6" s="290">
        <v>-44886</v>
      </c>
      <c r="Y6" s="290">
        <v>-78501</v>
      </c>
      <c r="Z6" s="290">
        <v>-101250</v>
      </c>
      <c r="AA6" s="307">
        <v>-1277</v>
      </c>
      <c r="AB6" s="307">
        <v>-1642</v>
      </c>
      <c r="AC6" s="290">
        <v>-15369</v>
      </c>
      <c r="AD6" s="290">
        <v>-9339</v>
      </c>
      <c r="AE6" s="290">
        <v>-15769</v>
      </c>
      <c r="AF6" s="290">
        <v>-18350</v>
      </c>
      <c r="AG6" s="290">
        <v>-29725</v>
      </c>
      <c r="AH6" s="290">
        <v>-34537</v>
      </c>
      <c r="AI6" s="290">
        <v>-26038</v>
      </c>
      <c r="AJ6" s="290">
        <v>-30837</v>
      </c>
      <c r="AK6" s="290">
        <v>-2765</v>
      </c>
      <c r="AL6" s="290">
        <v>-2532</v>
      </c>
      <c r="AM6" s="310"/>
      <c r="AN6" s="310"/>
      <c r="AO6" s="655">
        <v>-25262</v>
      </c>
      <c r="AP6" s="655">
        <v>-61796</v>
      </c>
      <c r="AQ6" s="290">
        <v>-694</v>
      </c>
      <c r="AR6" s="290">
        <v>-602</v>
      </c>
      <c r="AS6" s="308">
        <v>-19424</v>
      </c>
      <c r="AT6" s="308"/>
      <c r="AU6" s="290">
        <v>-25925</v>
      </c>
      <c r="AV6" s="290">
        <v>-38054</v>
      </c>
      <c r="AW6" s="479">
        <v>-38136</v>
      </c>
      <c r="AX6" s="479">
        <v>-46077</v>
      </c>
    </row>
    <row r="7" spans="1:50" x14ac:dyDescent="0.3">
      <c r="A7" s="246" t="s">
        <v>140</v>
      </c>
      <c r="B7" s="296"/>
      <c r="C7" s="286"/>
      <c r="D7" s="288"/>
      <c r="E7" s="286"/>
      <c r="F7" s="288"/>
      <c r="G7" s="298"/>
      <c r="H7" s="290"/>
      <c r="I7" s="288"/>
      <c r="J7" s="290"/>
      <c r="K7" s="290"/>
      <c r="L7" s="290"/>
      <c r="M7" s="301"/>
      <c r="N7" s="301"/>
      <c r="O7" s="290"/>
      <c r="P7" s="885"/>
      <c r="Q7" s="894"/>
      <c r="R7" s="304"/>
      <c r="S7" s="290"/>
      <c r="T7" s="290"/>
      <c r="U7" s="290"/>
      <c r="V7" s="290"/>
      <c r="W7" s="290"/>
      <c r="X7" s="290"/>
      <c r="Y7" s="290"/>
      <c r="Z7" s="290">
        <v>217</v>
      </c>
      <c r="AA7" s="307"/>
      <c r="AB7" s="307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310"/>
      <c r="AN7" s="310"/>
      <c r="AO7" s="655"/>
      <c r="AP7" s="656"/>
      <c r="AQ7" s="290"/>
      <c r="AR7" s="290"/>
      <c r="AS7" s="308"/>
      <c r="AT7" s="308"/>
      <c r="AU7" s="290"/>
      <c r="AV7" s="290"/>
      <c r="AW7" s="479"/>
      <c r="AX7" s="479"/>
    </row>
    <row r="8" spans="1:50" s="523" customFormat="1" ht="18" x14ac:dyDescent="0.35">
      <c r="A8" s="514" t="s">
        <v>141</v>
      </c>
      <c r="B8" s="515"/>
      <c r="C8" s="873">
        <v>772152</v>
      </c>
      <c r="D8" s="516">
        <v>974447</v>
      </c>
      <c r="E8" s="873"/>
      <c r="F8" s="516"/>
      <c r="G8" s="518">
        <v>73797</v>
      </c>
      <c r="H8" s="518">
        <v>73881</v>
      </c>
      <c r="I8" s="516">
        <v>1029487</v>
      </c>
      <c r="J8" s="517">
        <v>1276159</v>
      </c>
      <c r="K8" s="517">
        <f>K5+K6</f>
        <v>166690</v>
      </c>
      <c r="L8" s="517">
        <v>185531</v>
      </c>
      <c r="M8" s="519">
        <v>386780</v>
      </c>
      <c r="N8" s="517">
        <v>485669</v>
      </c>
      <c r="O8" s="517"/>
      <c r="P8" s="886"/>
      <c r="Q8" s="895">
        <f>Q5+Q6</f>
        <v>87345</v>
      </c>
      <c r="R8" s="517">
        <v>98301</v>
      </c>
      <c r="S8" s="517"/>
      <c r="T8" s="517"/>
      <c r="U8" s="517">
        <f>U5+U6</f>
        <v>80770</v>
      </c>
      <c r="V8" s="517"/>
      <c r="W8" s="517">
        <f>W5+W6</f>
        <v>3110661</v>
      </c>
      <c r="X8" s="517">
        <v>3584909</v>
      </c>
      <c r="Y8" s="517">
        <f>Y5+Y6</f>
        <v>2496235</v>
      </c>
      <c r="Z8" s="517">
        <f>SUM(Z5:Z7)</f>
        <v>2593042</v>
      </c>
      <c r="AA8" s="532">
        <f>AA5+AA6</f>
        <v>143022</v>
      </c>
      <c r="AB8" s="517">
        <v>151333</v>
      </c>
      <c r="AC8" s="517">
        <f>AC5+AC6</f>
        <v>337650</v>
      </c>
      <c r="AD8" s="517">
        <f>AD5+AD6</f>
        <v>410615</v>
      </c>
      <c r="AE8" s="517"/>
      <c r="AF8" s="517"/>
      <c r="AG8" s="517"/>
      <c r="AH8" s="517"/>
      <c r="AI8" s="517"/>
      <c r="AJ8" s="517"/>
      <c r="AK8" s="517"/>
      <c r="AL8" s="517"/>
      <c r="AM8" s="517">
        <f>SUM(AM5:AM7)</f>
        <v>0</v>
      </c>
      <c r="AN8" s="517">
        <f>SUM(AN5:AN7)</f>
        <v>0</v>
      </c>
      <c r="AO8" s="657">
        <v>4099853</v>
      </c>
      <c r="AP8" s="517">
        <v>4668408</v>
      </c>
      <c r="AQ8" s="517"/>
      <c r="AR8" s="517"/>
      <c r="AS8" s="517"/>
      <c r="AT8" s="521"/>
      <c r="AU8" s="517"/>
      <c r="AV8" s="517"/>
      <c r="AW8" s="872">
        <v>18827742</v>
      </c>
      <c r="AX8" s="872">
        <f>AX5+AX6</f>
        <v>24224350</v>
      </c>
    </row>
    <row r="9" spans="1:50" ht="17.25" x14ac:dyDescent="0.35">
      <c r="A9" s="292" t="s">
        <v>142</v>
      </c>
      <c r="B9" s="296"/>
      <c r="C9" s="286"/>
      <c r="D9" s="289"/>
      <c r="E9" s="286"/>
      <c r="F9" s="289"/>
      <c r="G9" s="299"/>
      <c r="H9" s="291"/>
      <c r="I9" s="288"/>
      <c r="J9" s="291"/>
      <c r="K9" s="290"/>
      <c r="L9" s="291"/>
      <c r="M9" s="301"/>
      <c r="N9" s="302"/>
      <c r="O9" s="290"/>
      <c r="P9" s="887"/>
      <c r="Q9" s="894"/>
      <c r="R9" s="305"/>
      <c r="S9" s="290"/>
      <c r="T9" s="291"/>
      <c r="U9" s="290"/>
      <c r="V9" s="291"/>
      <c r="W9" s="290"/>
      <c r="X9" s="291"/>
      <c r="Y9" s="290"/>
      <c r="Z9" s="291"/>
      <c r="AA9" s="307"/>
      <c r="AB9" s="307"/>
      <c r="AC9" s="290"/>
      <c r="AD9" s="291"/>
      <c r="AE9" s="290"/>
      <c r="AF9" s="309"/>
      <c r="AG9" s="290"/>
      <c r="AH9" s="291"/>
      <c r="AI9" s="290"/>
      <c r="AJ9" s="291"/>
      <c r="AK9" s="290"/>
      <c r="AL9" s="291"/>
      <c r="AM9" s="310"/>
      <c r="AN9" s="310"/>
      <c r="AO9" s="655"/>
      <c r="AP9" s="656"/>
      <c r="AQ9" s="290"/>
      <c r="AR9" s="290"/>
      <c r="AS9" s="308"/>
      <c r="AT9" s="308"/>
      <c r="AU9" s="291"/>
      <c r="AV9" s="290"/>
      <c r="AW9" s="299"/>
      <c r="AX9" s="479"/>
    </row>
    <row r="10" spans="1:50" ht="17.25" x14ac:dyDescent="0.35">
      <c r="A10" s="246" t="s">
        <v>143</v>
      </c>
      <c r="B10" s="296"/>
      <c r="C10" s="286">
        <v>211089</v>
      </c>
      <c r="D10" s="288">
        <v>237284</v>
      </c>
      <c r="E10" s="286">
        <v>12229</v>
      </c>
      <c r="F10" s="288">
        <v>14012</v>
      </c>
      <c r="G10" s="298">
        <v>49199</v>
      </c>
      <c r="H10" s="290">
        <v>53846</v>
      </c>
      <c r="I10" s="288">
        <v>224032</v>
      </c>
      <c r="J10" s="290">
        <v>249730</v>
      </c>
      <c r="K10" s="290">
        <v>43675</v>
      </c>
      <c r="L10" s="290">
        <v>49718</v>
      </c>
      <c r="M10" s="301">
        <v>74758</v>
      </c>
      <c r="N10" s="301">
        <v>88627</v>
      </c>
      <c r="O10" s="290">
        <v>26048</v>
      </c>
      <c r="P10" s="885">
        <v>10350</v>
      </c>
      <c r="Q10" s="894">
        <v>19355</v>
      </c>
      <c r="R10" s="304">
        <v>25542</v>
      </c>
      <c r="S10" s="290">
        <v>88516</v>
      </c>
      <c r="T10" s="290"/>
      <c r="U10" s="290">
        <v>27171</v>
      </c>
      <c r="V10" s="290">
        <v>31321</v>
      </c>
      <c r="W10" s="290">
        <v>702512</v>
      </c>
      <c r="X10" s="290">
        <v>875033</v>
      </c>
      <c r="Y10" s="290">
        <v>594501</v>
      </c>
      <c r="Z10" s="290">
        <v>651690</v>
      </c>
      <c r="AA10" s="307">
        <v>53868</v>
      </c>
      <c r="AB10" s="290">
        <v>60326</v>
      </c>
      <c r="AC10" s="290">
        <v>69590</v>
      </c>
      <c r="AD10" s="290">
        <v>72891</v>
      </c>
      <c r="AE10" s="290">
        <v>172580</v>
      </c>
      <c r="AF10" s="290">
        <v>196722</v>
      </c>
      <c r="AG10" s="290">
        <v>382124</v>
      </c>
      <c r="AH10" s="290">
        <v>434741</v>
      </c>
      <c r="AI10" s="290">
        <v>131044</v>
      </c>
      <c r="AJ10" s="290">
        <v>152820</v>
      </c>
      <c r="AK10" s="290">
        <v>108256</v>
      </c>
      <c r="AL10" s="290">
        <v>120363</v>
      </c>
      <c r="AM10" s="310"/>
      <c r="AN10" s="310"/>
      <c r="AO10" s="655">
        <v>830305</v>
      </c>
      <c r="AP10" s="655">
        <v>995888</v>
      </c>
      <c r="AQ10" s="290">
        <v>29814</v>
      </c>
      <c r="AR10" s="290">
        <v>36230</v>
      </c>
      <c r="AS10" s="308">
        <v>56756</v>
      </c>
      <c r="AT10" s="308"/>
      <c r="AU10" s="291">
        <v>149175</v>
      </c>
      <c r="AV10" s="290">
        <v>173516</v>
      </c>
      <c r="AW10" s="479">
        <v>18827742</v>
      </c>
      <c r="AX10" s="479">
        <v>20287522</v>
      </c>
    </row>
    <row r="11" spans="1:50" x14ac:dyDescent="0.3">
      <c r="A11" s="246" t="s">
        <v>144</v>
      </c>
      <c r="B11" s="296"/>
      <c r="C11" s="286">
        <v>191562</v>
      </c>
      <c r="D11" s="288">
        <v>113290</v>
      </c>
      <c r="E11" s="286">
        <v>16564</v>
      </c>
      <c r="F11" s="288">
        <v>12471</v>
      </c>
      <c r="G11" s="298">
        <v>31478</v>
      </c>
      <c r="H11" s="290">
        <v>20632</v>
      </c>
      <c r="I11" s="288">
        <v>318446</v>
      </c>
      <c r="J11" s="290">
        <v>224610</v>
      </c>
      <c r="K11" s="290">
        <v>35376</v>
      </c>
      <c r="L11" s="290">
        <v>9545</v>
      </c>
      <c r="M11" s="301">
        <v>111993</v>
      </c>
      <c r="N11" s="301">
        <v>59312</v>
      </c>
      <c r="O11" s="290">
        <v>2082</v>
      </c>
      <c r="P11" s="885">
        <v>747</v>
      </c>
      <c r="Q11" s="894">
        <v>18870</v>
      </c>
      <c r="R11" s="304">
        <v>16461</v>
      </c>
      <c r="S11" s="290">
        <v>29096</v>
      </c>
      <c r="T11" s="290"/>
      <c r="U11" s="290">
        <v>2452</v>
      </c>
      <c r="V11" s="290">
        <v>5006</v>
      </c>
      <c r="W11" s="290">
        <v>586393</v>
      </c>
      <c r="X11" s="290">
        <v>395097</v>
      </c>
      <c r="Y11" s="290">
        <v>1194830</v>
      </c>
      <c r="Z11" s="290">
        <v>831165</v>
      </c>
      <c r="AA11" s="307">
        <v>22763</v>
      </c>
      <c r="AB11" s="290">
        <v>24436</v>
      </c>
      <c r="AC11" s="290">
        <v>74024</v>
      </c>
      <c r="AD11" s="290">
        <v>50996</v>
      </c>
      <c r="AE11" s="290">
        <v>145237</v>
      </c>
      <c r="AF11" s="290">
        <v>109765</v>
      </c>
      <c r="AG11" s="290">
        <v>545648</v>
      </c>
      <c r="AH11" s="290">
        <v>163293</v>
      </c>
      <c r="AI11" s="290">
        <v>84866</v>
      </c>
      <c r="AJ11" s="290">
        <v>64929</v>
      </c>
      <c r="AK11" s="290">
        <v>79194</v>
      </c>
      <c r="AL11" s="290">
        <v>45268</v>
      </c>
      <c r="AM11" s="310"/>
      <c r="AN11" s="310"/>
      <c r="AO11" s="655">
        <v>757865</v>
      </c>
      <c r="AP11" s="655">
        <v>504670</v>
      </c>
      <c r="AQ11" s="290">
        <v>5436</v>
      </c>
      <c r="AR11" s="290">
        <v>4458</v>
      </c>
      <c r="AS11" s="308">
        <v>46981</v>
      </c>
      <c r="AT11" s="308"/>
      <c r="AU11" s="290">
        <v>314658</v>
      </c>
      <c r="AV11" s="290">
        <v>210265</v>
      </c>
      <c r="AW11" s="479">
        <v>4268566</v>
      </c>
      <c r="AX11" s="479">
        <v>3976936</v>
      </c>
    </row>
    <row r="12" spans="1:50" x14ac:dyDescent="0.3">
      <c r="A12" s="246" t="s">
        <v>145</v>
      </c>
      <c r="B12" s="296"/>
      <c r="C12" s="286">
        <v>-18583</v>
      </c>
      <c r="D12" s="288">
        <v>-36631</v>
      </c>
      <c r="E12" s="286">
        <v>-1697</v>
      </c>
      <c r="F12" s="288">
        <v>-3809</v>
      </c>
      <c r="G12" s="298">
        <v>-2436</v>
      </c>
      <c r="H12" s="290">
        <v>-4194</v>
      </c>
      <c r="I12" s="288">
        <v>-43372</v>
      </c>
      <c r="J12" s="290">
        <v>-67805</v>
      </c>
      <c r="K12" s="290">
        <v>-4435</v>
      </c>
      <c r="L12" s="290">
        <v>-2579</v>
      </c>
      <c r="M12" s="301">
        <v>-8884</v>
      </c>
      <c r="N12" s="301">
        <v>-13562</v>
      </c>
      <c r="O12" s="290">
        <v>-368</v>
      </c>
      <c r="P12" s="885">
        <v>-149</v>
      </c>
      <c r="Q12" s="894">
        <v>-2820</v>
      </c>
      <c r="R12" s="304">
        <v>-7499</v>
      </c>
      <c r="S12" s="290">
        <v>-469</v>
      </c>
      <c r="T12" s="290"/>
      <c r="U12" s="290">
        <v>-1654</v>
      </c>
      <c r="V12" s="290">
        <v>-2542</v>
      </c>
      <c r="W12" s="290">
        <v>-72996</v>
      </c>
      <c r="X12" s="290">
        <v>-80209</v>
      </c>
      <c r="Y12" s="290">
        <v>-43385</v>
      </c>
      <c r="Z12" s="290">
        <v>-225767</v>
      </c>
      <c r="AA12" s="307">
        <v>-876</v>
      </c>
      <c r="AB12" s="290">
        <v>-4399</v>
      </c>
      <c r="AC12" s="290">
        <v>-6616</v>
      </c>
      <c r="AD12" s="290">
        <v>-15272</v>
      </c>
      <c r="AE12" s="290">
        <v>-15930</v>
      </c>
      <c r="AF12" s="290">
        <v>-41068</v>
      </c>
      <c r="AG12" s="290">
        <v>-94852</v>
      </c>
      <c r="AH12" s="290">
        <v>-149812</v>
      </c>
      <c r="AI12" s="290">
        <v>-14081</v>
      </c>
      <c r="AJ12" s="290">
        <v>-15332</v>
      </c>
      <c r="AK12" s="290">
        <v>-6004</v>
      </c>
      <c r="AL12" s="290">
        <v>-16398</v>
      </c>
      <c r="AM12" s="310"/>
      <c r="AN12" s="310"/>
      <c r="AO12" s="655">
        <v>-56333</v>
      </c>
      <c r="AP12" s="655">
        <v>-236921</v>
      </c>
      <c r="AQ12" s="290">
        <v>-232</v>
      </c>
      <c r="AR12" s="290">
        <v>-2467</v>
      </c>
      <c r="AS12" s="308">
        <v>-5616</v>
      </c>
      <c r="AT12" s="308"/>
      <c r="AU12" s="290">
        <v>-24352</v>
      </c>
      <c r="AV12" s="290">
        <v>-72644</v>
      </c>
      <c r="AW12" s="479">
        <v>-633700</v>
      </c>
      <c r="AX12" s="479">
        <v>-292260</v>
      </c>
    </row>
    <row r="13" spans="1:50" x14ac:dyDescent="0.3">
      <c r="A13" s="246" t="s">
        <v>146</v>
      </c>
      <c r="B13" s="296"/>
      <c r="C13" s="286">
        <v>78583</v>
      </c>
      <c r="D13" s="288">
        <v>-38096</v>
      </c>
      <c r="E13" s="286">
        <v>190</v>
      </c>
      <c r="F13" s="288">
        <v>-403</v>
      </c>
      <c r="G13" s="298">
        <v>20477</v>
      </c>
      <c r="H13" s="290">
        <v>-7775</v>
      </c>
      <c r="I13" s="288">
        <v>177957</v>
      </c>
      <c r="J13" s="290">
        <v>-47445</v>
      </c>
      <c r="K13" s="290">
        <v>2038</v>
      </c>
      <c r="L13" s="290">
        <v>3382</v>
      </c>
      <c r="M13" s="301">
        <v>53011</v>
      </c>
      <c r="N13" s="301">
        <v>-13243</v>
      </c>
      <c r="O13" s="290">
        <v>2709</v>
      </c>
      <c r="P13" s="885">
        <v>856</v>
      </c>
      <c r="Q13" s="894">
        <v>7458</v>
      </c>
      <c r="R13" s="304">
        <v>-4667</v>
      </c>
      <c r="S13" s="290">
        <v>2887</v>
      </c>
      <c r="T13" s="290"/>
      <c r="U13" s="290">
        <v>-893</v>
      </c>
      <c r="V13" s="290">
        <v>-1005</v>
      </c>
      <c r="W13" s="290">
        <v>565964</v>
      </c>
      <c r="X13" s="290">
        <v>-114319</v>
      </c>
      <c r="Y13" s="290">
        <v>573189</v>
      </c>
      <c r="Z13" s="290">
        <v>-124174</v>
      </c>
      <c r="AA13" s="307">
        <v>27087</v>
      </c>
      <c r="AB13" s="290">
        <v>-15591</v>
      </c>
      <c r="AC13" s="290">
        <v>6496</v>
      </c>
      <c r="AD13" s="290">
        <v>5146</v>
      </c>
      <c r="AE13" s="290">
        <v>86288</v>
      </c>
      <c r="AF13" s="290">
        <v>-32054</v>
      </c>
      <c r="AG13" s="290">
        <v>-59823</v>
      </c>
      <c r="AH13" s="290">
        <v>64173</v>
      </c>
      <c r="AI13" s="290">
        <v>48603</v>
      </c>
      <c r="AJ13" s="290">
        <v>-40147</v>
      </c>
      <c r="AK13" s="290">
        <v>13708</v>
      </c>
      <c r="AL13" s="290">
        <v>-5764</v>
      </c>
      <c r="AM13" s="310"/>
      <c r="AN13" s="310"/>
      <c r="AO13" s="655">
        <v>525335</v>
      </c>
      <c r="AP13" s="655">
        <v>-88248</v>
      </c>
      <c r="AQ13" s="290"/>
      <c r="AR13" s="290"/>
      <c r="AS13" s="308"/>
      <c r="AT13" s="308"/>
      <c r="AU13" s="290">
        <v>20358</v>
      </c>
      <c r="AV13" s="290">
        <v>-43899</v>
      </c>
      <c r="AW13" s="479">
        <v>77021</v>
      </c>
      <c r="AX13" s="479">
        <v>-117849</v>
      </c>
    </row>
    <row r="14" spans="1:50" ht="17.25" x14ac:dyDescent="0.35">
      <c r="A14" s="246" t="s">
        <v>147</v>
      </c>
      <c r="B14" s="296"/>
      <c r="C14" s="286">
        <v>11129</v>
      </c>
      <c r="D14" s="289">
        <v>25972</v>
      </c>
      <c r="E14" s="286">
        <v>1981</v>
      </c>
      <c r="F14" s="289">
        <v>2295</v>
      </c>
      <c r="G14" s="299"/>
      <c r="H14" s="291"/>
      <c r="I14" s="288">
        <v>9849</v>
      </c>
      <c r="J14" s="291">
        <v>23321</v>
      </c>
      <c r="K14" s="290">
        <v>323</v>
      </c>
      <c r="L14" s="291">
        <v>4181</v>
      </c>
      <c r="M14" s="301">
        <v>5952</v>
      </c>
      <c r="N14" s="302">
        <v>11047</v>
      </c>
      <c r="O14" s="290">
        <v>-716</v>
      </c>
      <c r="P14" s="887">
        <v>-133</v>
      </c>
      <c r="Q14" s="894"/>
      <c r="R14" s="305"/>
      <c r="S14" s="290">
        <v>-386</v>
      </c>
      <c r="T14" s="291"/>
      <c r="U14" s="290">
        <v>323</v>
      </c>
      <c r="V14" s="291">
        <v>1171</v>
      </c>
      <c r="W14" s="290"/>
      <c r="X14" s="291"/>
      <c r="Y14" s="290">
        <v>30172</v>
      </c>
      <c r="Z14" s="291">
        <v>54075</v>
      </c>
      <c r="AA14" s="307">
        <v>372</v>
      </c>
      <c r="AB14" s="307">
        <v>2113</v>
      </c>
      <c r="AC14" s="290">
        <v>-1012</v>
      </c>
      <c r="AD14" s="291">
        <v>4648</v>
      </c>
      <c r="AE14" s="290">
        <v>4306</v>
      </c>
      <c r="AF14" s="309">
        <v>15046</v>
      </c>
      <c r="AG14" s="290">
        <v>5991</v>
      </c>
      <c r="AH14" s="291">
        <v>20122</v>
      </c>
      <c r="AI14" s="290">
        <v>2013</v>
      </c>
      <c r="AJ14" s="291">
        <v>7248</v>
      </c>
      <c r="AK14" s="290">
        <v>2640</v>
      </c>
      <c r="AL14" s="291">
        <v>5715</v>
      </c>
      <c r="AM14" s="310"/>
      <c r="AN14" s="310"/>
      <c r="AO14" s="655">
        <v>-327</v>
      </c>
      <c r="AP14" s="655">
        <v>32012</v>
      </c>
      <c r="AQ14" s="290">
        <v>880</v>
      </c>
      <c r="AR14" s="290">
        <v>3479</v>
      </c>
      <c r="AS14" s="308">
        <v>2548</v>
      </c>
      <c r="AT14" s="308"/>
      <c r="AU14" s="291">
        <v>17349</v>
      </c>
      <c r="AV14" s="290">
        <v>47744</v>
      </c>
      <c r="AW14" s="299"/>
      <c r="AX14" s="479"/>
    </row>
    <row r="15" spans="1:50" ht="17.25" x14ac:dyDescent="0.35">
      <c r="A15" s="246" t="s">
        <v>202</v>
      </c>
      <c r="B15" s="296"/>
      <c r="C15" s="286"/>
      <c r="D15" s="289"/>
      <c r="E15" s="286"/>
      <c r="F15" s="289"/>
      <c r="G15" s="299"/>
      <c r="H15" s="291"/>
      <c r="I15" s="288"/>
      <c r="J15" s="291"/>
      <c r="K15" s="290"/>
      <c r="L15" s="291"/>
      <c r="M15" s="301"/>
      <c r="N15" s="302"/>
      <c r="O15" s="290"/>
      <c r="P15" s="887"/>
      <c r="Q15" s="894"/>
      <c r="R15" s="305"/>
      <c r="S15" s="290"/>
      <c r="T15" s="291"/>
      <c r="U15" s="290">
        <v>388</v>
      </c>
      <c r="V15" s="291">
        <v>600</v>
      </c>
      <c r="W15" s="290"/>
      <c r="X15" s="291"/>
      <c r="Y15" s="290"/>
      <c r="Z15" s="291"/>
      <c r="AA15" s="307"/>
      <c r="AB15" s="307"/>
      <c r="AC15" s="290">
        <v>457</v>
      </c>
      <c r="AD15" s="291">
        <v>546</v>
      </c>
      <c r="AE15" s="290"/>
      <c r="AF15" s="309"/>
      <c r="AG15" s="290">
        <v>3593</v>
      </c>
      <c r="AH15" s="291">
        <v>4590</v>
      </c>
      <c r="AI15" s="290"/>
      <c r="AJ15" s="291"/>
      <c r="AK15" s="290">
        <v>1104</v>
      </c>
      <c r="AL15" s="291">
        <v>1744</v>
      </c>
      <c r="AM15" s="310"/>
      <c r="AN15" s="310"/>
      <c r="AO15" s="655"/>
      <c r="AP15" s="655"/>
      <c r="AQ15" s="290">
        <v>2508</v>
      </c>
      <c r="AR15" s="290">
        <v>-862</v>
      </c>
      <c r="AS15" s="308">
        <v>-7902</v>
      </c>
      <c r="AT15" s="308"/>
      <c r="AU15" s="291"/>
      <c r="AV15" s="290"/>
      <c r="AW15" s="299"/>
      <c r="AX15" s="479"/>
    </row>
    <row r="16" spans="1:50" x14ac:dyDescent="0.3">
      <c r="A16" s="292" t="s">
        <v>148</v>
      </c>
      <c r="B16" s="296"/>
      <c r="C16" s="286"/>
      <c r="D16" s="288"/>
      <c r="E16" s="286"/>
      <c r="F16" s="288"/>
      <c r="G16" s="298"/>
      <c r="H16" s="290"/>
      <c r="I16" s="288"/>
      <c r="J16" s="290"/>
      <c r="K16" s="290"/>
      <c r="L16" s="290"/>
      <c r="M16" s="301"/>
      <c r="N16" s="301"/>
      <c r="O16" s="290"/>
      <c r="P16" s="885"/>
      <c r="Q16" s="894"/>
      <c r="R16" s="304"/>
      <c r="S16" s="290"/>
      <c r="T16" s="290"/>
      <c r="U16" s="290"/>
      <c r="V16" s="290"/>
      <c r="W16" s="290"/>
      <c r="X16" s="290"/>
      <c r="Y16" s="290"/>
      <c r="Z16" s="290"/>
      <c r="AA16" s="307"/>
      <c r="AB16" s="307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310"/>
      <c r="AN16" s="310"/>
      <c r="AO16" s="655"/>
      <c r="AP16" s="656"/>
      <c r="AQ16" s="290"/>
      <c r="AR16" s="290"/>
      <c r="AS16" s="308"/>
      <c r="AT16" s="308"/>
      <c r="AU16" s="290"/>
      <c r="AV16" s="290"/>
      <c r="AW16" s="298"/>
      <c r="AX16" s="479"/>
    </row>
    <row r="17" spans="1:50" x14ac:dyDescent="0.3">
      <c r="A17" s="246" t="s">
        <v>149</v>
      </c>
      <c r="B17" s="296"/>
      <c r="C17" s="286">
        <v>13686</v>
      </c>
      <c r="D17" s="288">
        <v>19354</v>
      </c>
      <c r="E17" s="286">
        <v>7961</v>
      </c>
      <c r="F17" s="288">
        <v>8077</v>
      </c>
      <c r="G17" s="298">
        <f>76+2754</f>
        <v>2830</v>
      </c>
      <c r="H17" s="290">
        <f>4564+70</f>
        <v>4634</v>
      </c>
      <c r="I17" s="288">
        <v>872</v>
      </c>
      <c r="J17" s="290">
        <v>1174</v>
      </c>
      <c r="K17" s="290"/>
      <c r="L17" s="290"/>
      <c r="M17" s="301"/>
      <c r="N17" s="301"/>
      <c r="O17" s="290">
        <v>1968</v>
      </c>
      <c r="P17" s="885">
        <v>1123</v>
      </c>
      <c r="Q17" s="894">
        <v>19275</v>
      </c>
      <c r="R17" s="304">
        <v>20107</v>
      </c>
      <c r="S17" s="290">
        <v>15486</v>
      </c>
      <c r="T17" s="290"/>
      <c r="U17" s="290">
        <v>8823</v>
      </c>
      <c r="V17" s="290">
        <v>17872</v>
      </c>
      <c r="W17" s="290">
        <v>26442</v>
      </c>
      <c r="X17" s="290">
        <v>32397</v>
      </c>
      <c r="Y17" s="290">
        <v>118353</v>
      </c>
      <c r="Z17" s="290">
        <v>107003</v>
      </c>
      <c r="AA17" s="307"/>
      <c r="AB17" s="307"/>
      <c r="AC17" s="290">
        <v>38812</v>
      </c>
      <c r="AD17" s="290">
        <v>18466</v>
      </c>
      <c r="AE17" s="290"/>
      <c r="AF17" s="290"/>
      <c r="AG17" s="290"/>
      <c r="AH17" s="290"/>
      <c r="AI17" s="290">
        <v>19460</v>
      </c>
      <c r="AJ17" s="290">
        <v>3906</v>
      </c>
      <c r="AK17" s="290"/>
      <c r="AL17" s="290"/>
      <c r="AM17" s="310"/>
      <c r="AN17" s="310"/>
      <c r="AO17" s="655"/>
      <c r="AP17" s="656"/>
      <c r="AQ17" s="290"/>
      <c r="AR17" s="290"/>
      <c r="AS17" s="308"/>
      <c r="AT17" s="308"/>
      <c r="AU17" s="290"/>
      <c r="AV17" s="290">
        <v>66323</v>
      </c>
      <c r="AW17" s="298"/>
      <c r="AX17" s="479"/>
    </row>
    <row r="18" spans="1:50" x14ac:dyDescent="0.3">
      <c r="A18" s="246" t="s">
        <v>150</v>
      </c>
      <c r="B18" s="296"/>
      <c r="C18" s="286"/>
      <c r="D18" s="288"/>
      <c r="E18" s="286"/>
      <c r="F18" s="288"/>
      <c r="G18" s="298"/>
      <c r="H18" s="290"/>
      <c r="I18" s="288">
        <v>3981</v>
      </c>
      <c r="J18" s="290">
        <v>5538</v>
      </c>
      <c r="K18" s="290"/>
      <c r="L18" s="290"/>
      <c r="M18" s="301">
        <v>33</v>
      </c>
      <c r="N18" s="301"/>
      <c r="O18" s="290"/>
      <c r="P18" s="885"/>
      <c r="Q18" s="894">
        <v>7</v>
      </c>
      <c r="R18" s="304">
        <v>15</v>
      </c>
      <c r="S18" s="290"/>
      <c r="T18" s="290"/>
      <c r="U18" s="290"/>
      <c r="V18" s="290"/>
      <c r="W18" s="290">
        <v>2029</v>
      </c>
      <c r="X18" s="290">
        <v>2306</v>
      </c>
      <c r="Y18" s="290">
        <v>3010</v>
      </c>
      <c r="Z18" s="290">
        <v>3664</v>
      </c>
      <c r="AA18" s="307"/>
      <c r="AB18" s="307"/>
      <c r="AC18" s="290"/>
      <c r="AD18" s="290"/>
      <c r="AE18" s="290">
        <v>128</v>
      </c>
      <c r="AF18" s="290">
        <v>193</v>
      </c>
      <c r="AG18" s="290"/>
      <c r="AH18" s="290"/>
      <c r="AI18" s="290"/>
      <c r="AJ18" s="290">
        <v>1424</v>
      </c>
      <c r="AK18" s="290"/>
      <c r="AL18" s="290"/>
      <c r="AM18" s="310"/>
      <c r="AN18" s="310"/>
      <c r="AO18" s="655">
        <v>925</v>
      </c>
      <c r="AP18" s="655">
        <v>1113</v>
      </c>
      <c r="AQ18" s="290"/>
      <c r="AR18" s="290"/>
      <c r="AS18" s="308"/>
      <c r="AT18" s="308"/>
      <c r="AU18" s="290"/>
      <c r="AV18" s="290"/>
      <c r="AW18" s="298"/>
      <c r="AX18" s="479"/>
    </row>
    <row r="19" spans="1:50" x14ac:dyDescent="0.3">
      <c r="A19" s="246" t="s">
        <v>151</v>
      </c>
      <c r="B19" s="296"/>
      <c r="C19" s="286">
        <v>3813</v>
      </c>
      <c r="D19" s="288">
        <v>3879</v>
      </c>
      <c r="E19" s="286">
        <v>23</v>
      </c>
      <c r="F19" s="288">
        <f>23+117</f>
        <v>140</v>
      </c>
      <c r="G19" s="298">
        <v>223</v>
      </c>
      <c r="H19" s="290">
        <v>182</v>
      </c>
      <c r="I19" s="288"/>
      <c r="J19" s="290"/>
      <c r="K19" s="290">
        <f>303</f>
        <v>303</v>
      </c>
      <c r="L19" s="290">
        <f>453+136</f>
        <v>589</v>
      </c>
      <c r="M19" s="301">
        <f>223+38</f>
        <v>261</v>
      </c>
      <c r="N19" s="301">
        <v>345</v>
      </c>
      <c r="O19" s="290">
        <f>37+427</f>
        <v>464</v>
      </c>
      <c r="P19" s="885">
        <v>124</v>
      </c>
      <c r="Q19" s="894">
        <v>158</v>
      </c>
      <c r="R19" s="304">
        <v>223</v>
      </c>
      <c r="S19" s="290">
        <v>282</v>
      </c>
      <c r="T19" s="290"/>
      <c r="U19" s="290"/>
      <c r="V19" s="290"/>
      <c r="W19" s="290">
        <v>9319</v>
      </c>
      <c r="X19" s="290">
        <v>14278</v>
      </c>
      <c r="Y19" s="290">
        <f>4792+179</f>
        <v>4971</v>
      </c>
      <c r="Z19" s="290">
        <f>7090+41</f>
        <v>7131</v>
      </c>
      <c r="AA19" s="307"/>
      <c r="AB19" s="307">
        <v>57</v>
      </c>
      <c r="AC19" s="290"/>
      <c r="AD19" s="290"/>
      <c r="AE19" s="290">
        <f>254+29</f>
        <v>283</v>
      </c>
      <c r="AF19" s="290">
        <f>116+70</f>
        <v>186</v>
      </c>
      <c r="AG19" s="290">
        <v>3593</v>
      </c>
      <c r="AH19" s="290"/>
      <c r="AI19" s="290">
        <f>883+155</f>
        <v>1038</v>
      </c>
      <c r="AJ19" s="290">
        <v>274</v>
      </c>
      <c r="AK19" s="290">
        <f>7850+1104</f>
        <v>8954</v>
      </c>
      <c r="AL19" s="290">
        <v>287</v>
      </c>
      <c r="AM19" s="310"/>
      <c r="AN19" s="310"/>
      <c r="AO19" s="655">
        <v>2318</v>
      </c>
      <c r="AP19" s="655">
        <v>2386</v>
      </c>
      <c r="AQ19" s="290">
        <f>201+557+179</f>
        <v>937</v>
      </c>
      <c r="AR19" s="290"/>
      <c r="AS19" s="308">
        <v>282</v>
      </c>
      <c r="AT19" s="308"/>
      <c r="AU19" s="290">
        <f>3804+31268+294+2579+25</f>
        <v>37970</v>
      </c>
      <c r="AV19" s="290">
        <f>464+2692+3607</f>
        <v>6763</v>
      </c>
      <c r="AW19" s="298">
        <f>58124-24</f>
        <v>58100</v>
      </c>
      <c r="AX19" s="479">
        <v>716496</v>
      </c>
    </row>
    <row r="20" spans="1:50" s="523" customFormat="1" ht="18" x14ac:dyDescent="0.35">
      <c r="A20" s="514" t="s">
        <v>20</v>
      </c>
      <c r="B20" s="515"/>
      <c r="C20" s="873">
        <v>1263431</v>
      </c>
      <c r="D20" s="516">
        <v>1299499</v>
      </c>
      <c r="E20" s="873">
        <v>59842</v>
      </c>
      <c r="F20" s="516">
        <v>52336</v>
      </c>
      <c r="G20" s="518">
        <v>175568</v>
      </c>
      <c r="H20" s="517">
        <v>141206</v>
      </c>
      <c r="I20" s="516">
        <v>1721252</v>
      </c>
      <c r="J20" s="517">
        <v>1665282</v>
      </c>
      <c r="K20" s="517">
        <v>243971</v>
      </c>
      <c r="L20" s="517">
        <v>250367</v>
      </c>
      <c r="M20" s="519">
        <v>623904</v>
      </c>
      <c r="N20" s="519">
        <v>618195</v>
      </c>
      <c r="O20" s="517">
        <v>105799</v>
      </c>
      <c r="P20" s="886">
        <v>48725</v>
      </c>
      <c r="Q20" s="895">
        <v>149648</v>
      </c>
      <c r="R20" s="520">
        <v>148482</v>
      </c>
      <c r="S20" s="517">
        <v>366627</v>
      </c>
      <c r="T20" s="517"/>
      <c r="U20" s="517">
        <v>122380</v>
      </c>
      <c r="V20" s="517">
        <v>150752</v>
      </c>
      <c r="W20" s="517">
        <v>4930344</v>
      </c>
      <c r="X20" s="517">
        <v>4709491</v>
      </c>
      <c r="Y20" s="517">
        <v>4971876</v>
      </c>
      <c r="Z20" s="517">
        <v>3897829</v>
      </c>
      <c r="AA20" s="532">
        <v>246236</v>
      </c>
      <c r="AB20" s="532">
        <v>218277</v>
      </c>
      <c r="AC20" s="517">
        <v>519402</v>
      </c>
      <c r="AD20" s="517">
        <v>548037</v>
      </c>
      <c r="AE20" s="517">
        <v>1145727</v>
      </c>
      <c r="AF20" s="517">
        <v>1143609</v>
      </c>
      <c r="AG20" s="517">
        <v>2194417</v>
      </c>
      <c r="AH20" s="517">
        <v>2121337</v>
      </c>
      <c r="AI20" s="517">
        <v>720006</v>
      </c>
      <c r="AJ20" s="517">
        <v>718366</v>
      </c>
      <c r="AK20" s="517">
        <v>543820</v>
      </c>
      <c r="AL20" s="517">
        <v>493838</v>
      </c>
      <c r="AM20" s="522"/>
      <c r="AN20" s="522"/>
      <c r="AO20" s="657">
        <v>6159933</v>
      </c>
      <c r="AP20" s="657">
        <v>5879308</v>
      </c>
      <c r="AQ20" s="517">
        <v>182930</v>
      </c>
      <c r="AR20" s="517">
        <v>205132</v>
      </c>
      <c r="AS20" s="521">
        <v>358189</v>
      </c>
      <c r="AT20" s="521"/>
      <c r="AU20" s="517">
        <v>1379977</v>
      </c>
      <c r="AV20" s="517">
        <v>1614643</v>
      </c>
      <c r="AW20" s="533">
        <v>50965058</v>
      </c>
      <c r="AX20" s="872">
        <v>58795197</v>
      </c>
    </row>
    <row r="21" spans="1:50" x14ac:dyDescent="0.3">
      <c r="A21" s="246" t="s">
        <v>59</v>
      </c>
      <c r="B21" s="292" t="s">
        <v>152</v>
      </c>
      <c r="C21" s="286">
        <v>39827</v>
      </c>
      <c r="D21" s="288">
        <v>50028</v>
      </c>
      <c r="E21" s="286">
        <v>240</v>
      </c>
      <c r="F21" s="288">
        <v>90</v>
      </c>
      <c r="G21" s="298">
        <v>2076</v>
      </c>
      <c r="H21" s="290">
        <v>2186</v>
      </c>
      <c r="I21" s="288">
        <v>51135</v>
      </c>
      <c r="J21" s="290">
        <v>72813</v>
      </c>
      <c r="K21" s="290">
        <v>11522</v>
      </c>
      <c r="L21" s="290">
        <v>12289</v>
      </c>
      <c r="M21" s="301">
        <v>22221</v>
      </c>
      <c r="N21" s="301">
        <v>26178</v>
      </c>
      <c r="O21" s="290">
        <v>2212</v>
      </c>
      <c r="P21" s="885">
        <v>1462</v>
      </c>
      <c r="Q21" s="894">
        <v>6589</v>
      </c>
      <c r="R21" s="304">
        <v>7512</v>
      </c>
      <c r="S21" s="290">
        <v>11997</v>
      </c>
      <c r="T21" s="290"/>
      <c r="U21" s="290">
        <v>2470</v>
      </c>
      <c r="V21" s="290">
        <v>3664</v>
      </c>
      <c r="W21" s="290">
        <v>131954</v>
      </c>
      <c r="X21" s="290">
        <v>159876</v>
      </c>
      <c r="Y21" s="290">
        <v>111647</v>
      </c>
      <c r="Z21" s="290">
        <v>111037</v>
      </c>
      <c r="AA21" s="307">
        <v>5319</v>
      </c>
      <c r="AB21" s="307">
        <v>7223</v>
      </c>
      <c r="AC21" s="290">
        <v>14098</v>
      </c>
      <c r="AD21" s="290">
        <v>21544</v>
      </c>
      <c r="AE21" s="290">
        <v>32800</v>
      </c>
      <c r="AF21" s="290">
        <v>44572</v>
      </c>
      <c r="AG21" s="290">
        <v>90795</v>
      </c>
      <c r="AH21" s="290">
        <v>98535</v>
      </c>
      <c r="AI21" s="290">
        <v>26189</v>
      </c>
      <c r="AJ21" s="290">
        <v>33897</v>
      </c>
      <c r="AK21" s="290">
        <v>10401</v>
      </c>
      <c r="AL21" s="290">
        <v>11563</v>
      </c>
      <c r="AM21" s="310"/>
      <c r="AN21" s="310"/>
      <c r="AO21" s="655">
        <v>145305</v>
      </c>
      <c r="AP21" s="655">
        <v>214791</v>
      </c>
      <c r="AQ21" s="290">
        <v>8998</v>
      </c>
      <c r="AR21" s="290">
        <v>9490</v>
      </c>
      <c r="AS21" s="308">
        <v>16724</v>
      </c>
      <c r="AT21" s="308"/>
      <c r="AU21" s="290">
        <v>82745</v>
      </c>
      <c r="AV21" s="290">
        <v>118686</v>
      </c>
      <c r="AW21" s="479">
        <v>1542889</v>
      </c>
      <c r="AX21" s="479">
        <v>1715193</v>
      </c>
    </row>
    <row r="22" spans="1:50" x14ac:dyDescent="0.3">
      <c r="A22" s="246" t="s">
        <v>153</v>
      </c>
      <c r="B22" s="292" t="s">
        <v>154</v>
      </c>
      <c r="C22" s="286">
        <v>105313</v>
      </c>
      <c r="D22" s="288">
        <v>142189</v>
      </c>
      <c r="E22" s="286">
        <v>13592</v>
      </c>
      <c r="F22" s="288">
        <v>12875</v>
      </c>
      <c r="G22" s="298">
        <v>20251</v>
      </c>
      <c r="H22" s="290">
        <v>20146</v>
      </c>
      <c r="I22" s="288">
        <v>190154</v>
      </c>
      <c r="J22" s="290">
        <v>252470</v>
      </c>
      <c r="K22" s="290">
        <v>62757</v>
      </c>
      <c r="L22" s="290">
        <v>66858</v>
      </c>
      <c r="M22" s="301">
        <v>48975</v>
      </c>
      <c r="N22" s="301">
        <v>59349</v>
      </c>
      <c r="O22" s="290">
        <v>18899</v>
      </c>
      <c r="P22" s="885">
        <v>7948</v>
      </c>
      <c r="Q22" s="894">
        <v>38023</v>
      </c>
      <c r="R22" s="304">
        <v>40211</v>
      </c>
      <c r="S22" s="290">
        <v>51530</v>
      </c>
      <c r="T22" s="290"/>
      <c r="U22" s="290">
        <v>33707</v>
      </c>
      <c r="V22" s="290">
        <v>39683</v>
      </c>
      <c r="W22" s="290">
        <v>380353</v>
      </c>
      <c r="X22" s="290">
        <v>519992</v>
      </c>
      <c r="Y22" s="290">
        <v>237432</v>
      </c>
      <c r="Z22" s="290">
        <v>301640</v>
      </c>
      <c r="AA22" s="307">
        <v>19718</v>
      </c>
      <c r="AB22" s="307">
        <v>25210</v>
      </c>
      <c r="AC22" s="290">
        <v>48062</v>
      </c>
      <c r="AD22" s="290">
        <v>61693</v>
      </c>
      <c r="AE22" s="290">
        <v>115622</v>
      </c>
      <c r="AF22" s="290">
        <v>136445</v>
      </c>
      <c r="AG22" s="290">
        <v>218408</v>
      </c>
      <c r="AH22" s="290">
        <v>230931</v>
      </c>
      <c r="AI22" s="290">
        <v>82372</v>
      </c>
      <c r="AJ22" s="290">
        <v>104093</v>
      </c>
      <c r="AK22" s="290">
        <v>77839</v>
      </c>
      <c r="AL22" s="290">
        <v>86835</v>
      </c>
      <c r="AM22" s="310"/>
      <c r="AN22" s="310"/>
      <c r="AO22" s="655">
        <v>210195</v>
      </c>
      <c r="AP22" s="655">
        <v>245086</v>
      </c>
      <c r="AQ22" s="290">
        <v>35965</v>
      </c>
      <c r="AR22" s="290">
        <v>39600</v>
      </c>
      <c r="AS22" s="308">
        <v>35188</v>
      </c>
      <c r="AT22" s="308"/>
      <c r="AU22" s="290">
        <v>180970</v>
      </c>
      <c r="AV22" s="290">
        <v>269797</v>
      </c>
      <c r="AW22" s="479">
        <v>2715479</v>
      </c>
      <c r="AX22" s="479">
        <v>3513883</v>
      </c>
    </row>
    <row r="23" spans="1:50" x14ac:dyDescent="0.3">
      <c r="A23" s="246" t="s">
        <v>198</v>
      </c>
      <c r="B23" s="292"/>
      <c r="C23" s="286"/>
      <c r="D23" s="288"/>
      <c r="E23" s="286"/>
      <c r="F23" s="288"/>
      <c r="G23" s="298"/>
      <c r="H23" s="290"/>
      <c r="I23" s="288"/>
      <c r="J23" s="290"/>
      <c r="K23" s="290"/>
      <c r="L23" s="290"/>
      <c r="M23" s="301"/>
      <c r="N23" s="301"/>
      <c r="O23" s="290"/>
      <c r="P23" s="885"/>
      <c r="Q23" s="894"/>
      <c r="R23" s="304"/>
      <c r="S23" s="290"/>
      <c r="T23" s="290"/>
      <c r="U23" s="290"/>
      <c r="V23" s="290"/>
      <c r="W23" s="290"/>
      <c r="X23" s="290"/>
      <c r="Y23" s="290"/>
      <c r="Z23" s="290"/>
      <c r="AA23" s="307"/>
      <c r="AB23" s="307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310"/>
      <c r="AN23" s="310"/>
      <c r="AO23" s="655"/>
      <c r="AP23" s="655"/>
      <c r="AQ23" s="290"/>
      <c r="AR23" s="290"/>
      <c r="AS23" s="308"/>
      <c r="AT23" s="308"/>
      <c r="AU23" s="290"/>
      <c r="AV23" s="290"/>
      <c r="AW23" s="479"/>
      <c r="AX23" s="479"/>
    </row>
    <row r="24" spans="1:50" x14ac:dyDescent="0.3">
      <c r="A24" s="246" t="s">
        <v>155</v>
      </c>
      <c r="B24" s="296"/>
      <c r="C24" s="286"/>
      <c r="D24" s="288">
        <v>-12</v>
      </c>
      <c r="E24" s="286">
        <v>-8</v>
      </c>
      <c r="F24" s="288"/>
      <c r="G24" s="298">
        <v>68</v>
      </c>
      <c r="H24" s="290">
        <v>135</v>
      </c>
      <c r="I24" s="288">
        <v>55</v>
      </c>
      <c r="J24" s="290">
        <v>34</v>
      </c>
      <c r="K24" s="290">
        <v>319</v>
      </c>
      <c r="L24" s="290"/>
      <c r="M24" s="301">
        <v>6</v>
      </c>
      <c r="N24" s="301"/>
      <c r="O24" s="290"/>
      <c r="P24" s="885"/>
      <c r="Q24" s="894">
        <v>60</v>
      </c>
      <c r="R24" s="304">
        <v>94</v>
      </c>
      <c r="S24" s="290"/>
      <c r="T24" s="290"/>
      <c r="U24" s="290">
        <v>-62</v>
      </c>
      <c r="V24" s="290">
        <v>282</v>
      </c>
      <c r="W24" s="290"/>
      <c r="X24" s="290"/>
      <c r="Y24" s="290">
        <v>53</v>
      </c>
      <c r="Z24" s="290">
        <v>157</v>
      </c>
      <c r="AA24" s="307">
        <v>2</v>
      </c>
      <c r="AB24" s="307">
        <v>9</v>
      </c>
      <c r="AC24" s="290"/>
      <c r="AD24" s="290"/>
      <c r="AE24" s="290"/>
      <c r="AF24" s="290"/>
      <c r="AG24" s="290">
        <v>157</v>
      </c>
      <c r="AH24" s="290">
        <v>193</v>
      </c>
      <c r="AI24" s="290"/>
      <c r="AJ24" s="290"/>
      <c r="AK24" s="290">
        <v>-45</v>
      </c>
      <c r="AL24" s="290">
        <v>-67</v>
      </c>
      <c r="AM24" s="310"/>
      <c r="AN24" s="310"/>
      <c r="AO24" s="655">
        <v>130</v>
      </c>
      <c r="AP24" s="655">
        <v>140</v>
      </c>
      <c r="AQ24" s="290"/>
      <c r="AR24" s="290"/>
      <c r="AS24" s="308">
        <v>20</v>
      </c>
      <c r="AT24" s="308"/>
      <c r="AU24" s="290"/>
      <c r="AV24" s="290"/>
      <c r="AW24" s="479">
        <v>-21352</v>
      </c>
      <c r="AX24" s="479">
        <v>-90797</v>
      </c>
    </row>
    <row r="25" spans="1:50" ht="17.25" x14ac:dyDescent="0.35">
      <c r="A25" s="246" t="s">
        <v>156</v>
      </c>
      <c r="B25" s="296"/>
      <c r="C25" s="286">
        <v>118</v>
      </c>
      <c r="D25" s="289"/>
      <c r="E25" s="286"/>
      <c r="F25" s="289"/>
      <c r="G25" s="299"/>
      <c r="H25" s="291"/>
      <c r="I25" s="288">
        <v>79</v>
      </c>
      <c r="J25" s="291">
        <v>156</v>
      </c>
      <c r="K25" s="290">
        <v>107</v>
      </c>
      <c r="L25" s="291">
        <v>18</v>
      </c>
      <c r="M25" s="301"/>
      <c r="N25" s="302"/>
      <c r="O25" s="290"/>
      <c r="P25" s="887"/>
      <c r="Q25" s="894"/>
      <c r="R25" s="305"/>
      <c r="S25" s="290"/>
      <c r="T25" s="291"/>
      <c r="U25" s="290"/>
      <c r="V25" s="291"/>
      <c r="W25" s="290"/>
      <c r="X25" s="291"/>
      <c r="Y25" s="290">
        <v>241</v>
      </c>
      <c r="Z25" s="291">
        <v>420</v>
      </c>
      <c r="AA25" s="307"/>
      <c r="AB25" s="307"/>
      <c r="AC25" s="290"/>
      <c r="AD25" s="291"/>
      <c r="AE25" s="290">
        <v>1282</v>
      </c>
      <c r="AF25" s="309"/>
      <c r="AG25" s="290">
        <v>1</v>
      </c>
      <c r="AH25" s="291">
        <v>1</v>
      </c>
      <c r="AI25" s="290"/>
      <c r="AJ25" s="291"/>
      <c r="AK25" s="290">
        <v>151</v>
      </c>
      <c r="AL25" s="291">
        <v>132</v>
      </c>
      <c r="AM25" s="310"/>
      <c r="AN25" s="310"/>
      <c r="AO25" s="655">
        <v>2929</v>
      </c>
      <c r="AP25" s="658">
        <v>16</v>
      </c>
      <c r="AQ25" s="290"/>
      <c r="AR25" s="290"/>
      <c r="AS25" s="308">
        <v>19</v>
      </c>
      <c r="AT25" s="308"/>
      <c r="AU25" s="291"/>
      <c r="AV25" s="290"/>
      <c r="AW25" s="299"/>
      <c r="AX25" s="479"/>
    </row>
    <row r="26" spans="1:50" x14ac:dyDescent="0.3">
      <c r="A26" s="246" t="s">
        <v>157</v>
      </c>
      <c r="B26" s="296"/>
      <c r="C26" s="286"/>
      <c r="D26" s="288"/>
      <c r="E26" s="286"/>
      <c r="F26" s="288"/>
      <c r="G26" s="298"/>
      <c r="H26" s="290"/>
      <c r="I26" s="288"/>
      <c r="J26" s="290"/>
      <c r="K26" s="290"/>
      <c r="L26" s="290"/>
      <c r="M26" s="301"/>
      <c r="N26" s="301"/>
      <c r="O26" s="290"/>
      <c r="P26" s="885"/>
      <c r="Q26" s="894"/>
      <c r="R26" s="304"/>
      <c r="S26" s="290"/>
      <c r="T26" s="290"/>
      <c r="U26" s="290"/>
      <c r="V26" s="290"/>
      <c r="W26" s="290">
        <v>2965</v>
      </c>
      <c r="X26" s="290"/>
      <c r="Y26" s="290"/>
      <c r="Z26" s="290"/>
      <c r="AA26" s="307"/>
      <c r="AB26" s="307"/>
      <c r="AC26" s="290"/>
      <c r="AD26" s="290"/>
      <c r="AE26" s="290">
        <v>8455</v>
      </c>
      <c r="AF26" s="290">
        <v>18610</v>
      </c>
      <c r="AG26" s="290"/>
      <c r="AH26" s="290"/>
      <c r="AI26" s="290">
        <v>2039</v>
      </c>
      <c r="AJ26" s="290">
        <v>894</v>
      </c>
      <c r="AK26" s="290">
        <v>4427</v>
      </c>
      <c r="AL26" s="290"/>
      <c r="AM26" s="310"/>
      <c r="AN26" s="310"/>
      <c r="AO26" s="655"/>
      <c r="AP26" s="656"/>
      <c r="AQ26" s="290">
        <v>226</v>
      </c>
      <c r="AR26" s="290">
        <v>3349</v>
      </c>
      <c r="AS26" s="308">
        <v>552</v>
      </c>
      <c r="AT26" s="308"/>
      <c r="AU26" s="290">
        <v>-1590</v>
      </c>
      <c r="AV26" s="290">
        <v>1693</v>
      </c>
      <c r="AW26" s="479">
        <v>791888</v>
      </c>
      <c r="AX26" s="479">
        <v>428959</v>
      </c>
    </row>
    <row r="27" spans="1:50" x14ac:dyDescent="0.3">
      <c r="A27" s="246" t="s">
        <v>158</v>
      </c>
      <c r="B27" s="296"/>
      <c r="C27" s="286">
        <v>3204</v>
      </c>
      <c r="D27" s="288">
        <v>3225</v>
      </c>
      <c r="E27" s="286"/>
      <c r="F27" s="288"/>
      <c r="G27" s="298"/>
      <c r="H27" s="290"/>
      <c r="I27" s="288"/>
      <c r="J27" s="290"/>
      <c r="K27" s="290"/>
      <c r="L27" s="290"/>
      <c r="M27" s="301"/>
      <c r="N27" s="301"/>
      <c r="O27" s="290"/>
      <c r="P27" s="885"/>
      <c r="Q27" s="894"/>
      <c r="R27" s="304"/>
      <c r="S27" s="290"/>
      <c r="T27" s="290"/>
      <c r="U27" s="290"/>
      <c r="V27" s="290"/>
      <c r="W27" s="290"/>
      <c r="X27" s="290">
        <v>-9038</v>
      </c>
      <c r="Y27" s="290"/>
      <c r="Z27" s="290"/>
      <c r="AA27" s="307"/>
      <c r="AB27" s="307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310"/>
      <c r="AN27" s="310"/>
      <c r="AO27" s="655">
        <v>9510</v>
      </c>
      <c r="AP27" s="655">
        <v>11944</v>
      </c>
      <c r="AQ27" s="290"/>
      <c r="AR27" s="290"/>
      <c r="AS27" s="308"/>
      <c r="AT27" s="308"/>
      <c r="AU27" s="290"/>
      <c r="AV27" s="290"/>
      <c r="AW27" s="479"/>
      <c r="AX27" s="479"/>
    </row>
    <row r="28" spans="1:50" x14ac:dyDescent="0.3">
      <c r="A28" s="246" t="s">
        <v>159</v>
      </c>
      <c r="B28" s="296"/>
      <c r="C28" s="286"/>
      <c r="D28" s="288"/>
      <c r="E28" s="286"/>
      <c r="F28" s="288"/>
      <c r="G28" s="298"/>
      <c r="H28" s="290"/>
      <c r="I28" s="288">
        <v>-15599</v>
      </c>
      <c r="J28" s="290">
        <v>-65</v>
      </c>
      <c r="K28" s="290"/>
      <c r="L28" s="290"/>
      <c r="M28" s="301"/>
      <c r="N28" s="301"/>
      <c r="O28" s="290"/>
      <c r="P28" s="885"/>
      <c r="Q28" s="894"/>
      <c r="R28" s="304"/>
      <c r="S28" s="290"/>
      <c r="T28" s="290"/>
      <c r="U28" s="290"/>
      <c r="V28" s="290"/>
      <c r="W28" s="290"/>
      <c r="X28" s="290"/>
      <c r="Y28" s="290"/>
      <c r="Z28" s="290"/>
      <c r="AA28" s="307"/>
      <c r="AB28" s="307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310"/>
      <c r="AN28" s="310"/>
      <c r="AO28" s="655"/>
      <c r="AP28" s="656"/>
      <c r="AQ28" s="290"/>
      <c r="AR28" s="290"/>
      <c r="AS28" s="308"/>
      <c r="AT28" s="308"/>
      <c r="AU28" s="290"/>
      <c r="AV28" s="290"/>
      <c r="AW28" s="479"/>
      <c r="AX28" s="479"/>
    </row>
    <row r="29" spans="1:50" x14ac:dyDescent="0.3">
      <c r="A29" s="246" t="s">
        <v>160</v>
      </c>
      <c r="B29" s="296"/>
      <c r="C29" s="286">
        <v>-1</v>
      </c>
      <c r="D29" s="288"/>
      <c r="E29" s="286">
        <v>125</v>
      </c>
      <c r="F29" s="288"/>
      <c r="G29" s="298">
        <v>904</v>
      </c>
      <c r="H29" s="290">
        <v>53</v>
      </c>
      <c r="I29" s="288">
        <v>-5000</v>
      </c>
      <c r="J29" s="290">
        <v>2677</v>
      </c>
      <c r="K29" s="290"/>
      <c r="L29" s="290"/>
      <c r="M29" s="301"/>
      <c r="N29" s="301"/>
      <c r="O29" s="290">
        <v>-793</v>
      </c>
      <c r="P29" s="885"/>
      <c r="Q29" s="894">
        <v>-601</v>
      </c>
      <c r="R29" s="304">
        <v>-139</v>
      </c>
      <c r="S29" s="290">
        <v>316</v>
      </c>
      <c r="T29" s="290"/>
      <c r="U29" s="290">
        <v>-500</v>
      </c>
      <c r="V29" s="290">
        <v>157</v>
      </c>
      <c r="W29" s="290">
        <v>-26045</v>
      </c>
      <c r="X29" s="290">
        <v>1838</v>
      </c>
      <c r="Y29" s="290"/>
      <c r="Z29" s="290"/>
      <c r="AA29" s="307">
        <v>-422</v>
      </c>
      <c r="AB29" s="307">
        <v>1310</v>
      </c>
      <c r="AC29" s="290"/>
      <c r="AD29" s="290">
        <v>142</v>
      </c>
      <c r="AE29" s="290">
        <v>-2503</v>
      </c>
      <c r="AF29" s="290">
        <v>-560</v>
      </c>
      <c r="AG29" s="290">
        <v>5131</v>
      </c>
      <c r="AH29" s="290">
        <v>1023</v>
      </c>
      <c r="AI29" s="290"/>
      <c r="AJ29" s="290"/>
      <c r="AK29" s="290">
        <v>-6408</v>
      </c>
      <c r="AL29" s="290"/>
      <c r="AM29" s="310"/>
      <c r="AN29" s="310"/>
      <c r="AO29" s="655">
        <v>-89</v>
      </c>
      <c r="AP29" s="655">
        <v>367</v>
      </c>
      <c r="AQ29" s="290"/>
      <c r="AR29" s="290"/>
      <c r="AS29" s="308">
        <v>-1933</v>
      </c>
      <c r="AT29" s="308"/>
      <c r="AU29" s="290">
        <v>-118</v>
      </c>
      <c r="AV29" s="290"/>
      <c r="AW29" s="479">
        <v>-152008</v>
      </c>
      <c r="AX29" s="479">
        <v>-131217</v>
      </c>
    </row>
    <row r="30" spans="1:50" ht="17.25" x14ac:dyDescent="0.35">
      <c r="A30" s="246" t="s">
        <v>161</v>
      </c>
      <c r="B30" s="296"/>
      <c r="C30" s="286"/>
      <c r="D30" s="289"/>
      <c r="E30" s="286"/>
      <c r="F30" s="289"/>
      <c r="G30" s="299"/>
      <c r="H30" s="291"/>
      <c r="I30" s="288"/>
      <c r="J30" s="291"/>
      <c r="K30" s="290"/>
      <c r="L30" s="291"/>
      <c r="M30" s="301"/>
      <c r="N30" s="302"/>
      <c r="O30" s="290"/>
      <c r="P30" s="887"/>
      <c r="Q30" s="894"/>
      <c r="R30" s="305"/>
      <c r="S30" s="290"/>
      <c r="T30" s="291"/>
      <c r="U30" s="290"/>
      <c r="V30" s="291"/>
      <c r="W30" s="290">
        <v>212</v>
      </c>
      <c r="X30" s="291">
        <v>851</v>
      </c>
      <c r="Y30" s="290"/>
      <c r="Z30" s="291"/>
      <c r="AA30" s="307"/>
      <c r="AB30" s="307"/>
      <c r="AC30" s="290"/>
      <c r="AD30" s="291"/>
      <c r="AE30" s="290"/>
      <c r="AF30" s="309"/>
      <c r="AG30" s="290"/>
      <c r="AH30" s="291"/>
      <c r="AI30" s="290"/>
      <c r="AJ30" s="291"/>
      <c r="AK30" s="290"/>
      <c r="AL30" s="291"/>
      <c r="AM30" s="310"/>
      <c r="AN30" s="310"/>
      <c r="AO30" s="655">
        <v>-5275</v>
      </c>
      <c r="AP30" s="658">
        <v>-19</v>
      </c>
      <c r="AQ30" s="290"/>
      <c r="AR30" s="290"/>
      <c r="AS30" s="308"/>
      <c r="AT30" s="308"/>
      <c r="AU30" s="291"/>
      <c r="AV30" s="290"/>
      <c r="AW30" s="299"/>
      <c r="AX30" s="479"/>
    </row>
    <row r="31" spans="1:50" ht="17.25" x14ac:dyDescent="0.35">
      <c r="A31" s="246" t="s">
        <v>210</v>
      </c>
      <c r="B31" s="296"/>
      <c r="C31" s="286">
        <v>-1</v>
      </c>
      <c r="D31" s="289">
        <v>-1</v>
      </c>
      <c r="E31" s="286"/>
      <c r="F31" s="289"/>
      <c r="G31" s="299"/>
      <c r="H31" s="291"/>
      <c r="I31" s="288">
        <f>5000+29</f>
        <v>5029</v>
      </c>
      <c r="J31" s="291">
        <v>64</v>
      </c>
      <c r="K31" s="290"/>
      <c r="L31" s="291"/>
      <c r="M31" s="301">
        <v>375</v>
      </c>
      <c r="N31" s="302"/>
      <c r="O31" s="290">
        <v>18</v>
      </c>
      <c r="P31" s="887"/>
      <c r="Q31" s="894"/>
      <c r="R31" s="305"/>
      <c r="S31" s="290"/>
      <c r="T31" s="291"/>
      <c r="U31" s="290"/>
      <c r="V31" s="291"/>
      <c r="W31" s="290"/>
      <c r="X31" s="291"/>
      <c r="Y31" s="290"/>
      <c r="Z31" s="291"/>
      <c r="AA31" s="307"/>
      <c r="AB31" s="307"/>
      <c r="AC31" s="290"/>
      <c r="AD31" s="291"/>
      <c r="AE31" s="290"/>
      <c r="AF31" s="309"/>
      <c r="AG31" s="290"/>
      <c r="AH31" s="291"/>
      <c r="AI31" s="290">
        <v>288</v>
      </c>
      <c r="AJ31" s="291">
        <v>696</v>
      </c>
      <c r="AK31" s="290"/>
      <c r="AL31" s="291"/>
      <c r="AM31" s="310"/>
      <c r="AN31" s="310"/>
      <c r="AO31" s="655"/>
      <c r="AP31" s="658"/>
      <c r="AQ31" s="290"/>
      <c r="AR31" s="290"/>
      <c r="AS31" s="308"/>
      <c r="AT31" s="308"/>
      <c r="AU31" s="291"/>
      <c r="AV31" s="290"/>
      <c r="AW31" s="299"/>
      <c r="AX31" s="479"/>
    </row>
    <row r="32" spans="1:50" x14ac:dyDescent="0.3">
      <c r="A32" s="246" t="s">
        <v>162</v>
      </c>
      <c r="B32" s="296"/>
      <c r="C32" s="286">
        <v>8926</v>
      </c>
      <c r="D32" s="288">
        <v>8826</v>
      </c>
      <c r="E32" s="286">
        <v>244</v>
      </c>
      <c r="F32" s="288">
        <v>222</v>
      </c>
      <c r="G32" s="298">
        <v>1036</v>
      </c>
      <c r="H32" s="290">
        <v>1001</v>
      </c>
      <c r="I32" s="288">
        <v>10700</v>
      </c>
      <c r="J32" s="290">
        <v>11709</v>
      </c>
      <c r="K32" s="290">
        <v>523</v>
      </c>
      <c r="L32" s="290">
        <v>585</v>
      </c>
      <c r="M32" s="301">
        <v>4535</v>
      </c>
      <c r="N32" s="301">
        <v>4604</v>
      </c>
      <c r="O32" s="290">
        <v>110</v>
      </c>
      <c r="P32" s="885">
        <v>36</v>
      </c>
      <c r="Q32" s="894">
        <v>573</v>
      </c>
      <c r="R32" s="304">
        <v>587</v>
      </c>
      <c r="S32" s="290"/>
      <c r="T32" s="290"/>
      <c r="U32" s="290">
        <v>229</v>
      </c>
      <c r="V32" s="290">
        <v>193</v>
      </c>
      <c r="W32" s="290">
        <v>27333</v>
      </c>
      <c r="X32" s="290">
        <v>27712</v>
      </c>
      <c r="Y32" s="290">
        <v>51282</v>
      </c>
      <c r="Z32" s="290">
        <v>49124</v>
      </c>
      <c r="AA32" s="307">
        <v>1398</v>
      </c>
      <c r="AB32" s="308">
        <v>1449</v>
      </c>
      <c r="AC32" s="290">
        <v>2582</v>
      </c>
      <c r="AD32" s="290">
        <v>2972</v>
      </c>
      <c r="AE32" s="290">
        <v>5928</v>
      </c>
      <c r="AF32" s="290">
        <v>6311</v>
      </c>
      <c r="AG32" s="290">
        <v>13481</v>
      </c>
      <c r="AH32" s="290">
        <v>14706</v>
      </c>
      <c r="AI32" s="290">
        <v>3467</v>
      </c>
      <c r="AJ32" s="290">
        <v>3926</v>
      </c>
      <c r="AK32" s="290">
        <v>2571</v>
      </c>
      <c r="AL32" s="290">
        <v>2505</v>
      </c>
      <c r="AM32" s="310"/>
      <c r="AN32" s="310"/>
      <c r="AO32" s="655">
        <v>53063</v>
      </c>
      <c r="AP32" s="655">
        <v>59277</v>
      </c>
      <c r="AQ32" s="290">
        <v>178</v>
      </c>
      <c r="AR32" s="290">
        <v>169</v>
      </c>
      <c r="AS32" s="308">
        <v>749</v>
      </c>
      <c r="AT32" s="308"/>
      <c r="AU32" s="290">
        <v>6412</v>
      </c>
      <c r="AV32" s="290">
        <v>9254</v>
      </c>
      <c r="AW32" s="298">
        <v>5568</v>
      </c>
      <c r="AX32" s="479">
        <v>6561</v>
      </c>
    </row>
    <row r="33" spans="1:50" s="523" customFormat="1" ht="18" x14ac:dyDescent="0.35">
      <c r="A33" s="514" t="s">
        <v>163</v>
      </c>
      <c r="B33" s="515"/>
      <c r="C33" s="873">
        <v>157386</v>
      </c>
      <c r="D33" s="516">
        <v>204255</v>
      </c>
      <c r="E33" s="873">
        <v>14193</v>
      </c>
      <c r="F33" s="516">
        <v>13187</v>
      </c>
      <c r="G33" s="518">
        <v>24335</v>
      </c>
      <c r="H33" s="517">
        <v>23521</v>
      </c>
      <c r="I33" s="516">
        <v>236553</v>
      </c>
      <c r="J33" s="517">
        <v>339858</v>
      </c>
      <c r="K33" s="517">
        <v>75228</v>
      </c>
      <c r="L33" s="517">
        <v>79750</v>
      </c>
      <c r="M33" s="519">
        <v>76112</v>
      </c>
      <c r="N33" s="519">
        <v>90131</v>
      </c>
      <c r="O33" s="517">
        <v>20446</v>
      </c>
      <c r="P33" s="886">
        <v>9446</v>
      </c>
      <c r="Q33" s="895">
        <v>44643</v>
      </c>
      <c r="R33" s="520">
        <v>48264</v>
      </c>
      <c r="S33" s="517">
        <v>63843</v>
      </c>
      <c r="T33" s="517"/>
      <c r="U33" s="517">
        <v>35844</v>
      </c>
      <c r="V33" s="517">
        <v>43979</v>
      </c>
      <c r="W33" s="517">
        <v>516772</v>
      </c>
      <c r="X33" s="517">
        <v>701231</v>
      </c>
      <c r="Y33" s="517">
        <v>400655</v>
      </c>
      <c r="Z33" s="517">
        <v>464482</v>
      </c>
      <c r="AA33" s="532">
        <v>26015</v>
      </c>
      <c r="AB33" s="521">
        <v>35201</v>
      </c>
      <c r="AC33" s="517">
        <v>67743</v>
      </c>
      <c r="AD33" s="517">
        <v>86350</v>
      </c>
      <c r="AE33" s="517">
        <v>161584</v>
      </c>
      <c r="AF33" s="517">
        <v>205378</v>
      </c>
      <c r="AG33" s="517">
        <v>327613</v>
      </c>
      <c r="AH33" s="517">
        <v>345388</v>
      </c>
      <c r="AI33" s="517">
        <v>114355</v>
      </c>
      <c r="AJ33" s="517">
        <v>143506</v>
      </c>
      <c r="AK33" s="517">
        <v>88877</v>
      </c>
      <c r="AL33" s="517">
        <v>100968</v>
      </c>
      <c r="AM33" s="522"/>
      <c r="AN33" s="522"/>
      <c r="AO33" s="657">
        <v>415769</v>
      </c>
      <c r="AP33" s="657">
        <v>531601</v>
      </c>
      <c r="AQ33" s="517">
        <v>45368</v>
      </c>
      <c r="AR33" s="517">
        <v>52608</v>
      </c>
      <c r="AS33" s="521">
        <v>51319</v>
      </c>
      <c r="AT33" s="521"/>
      <c r="AU33" s="517">
        <v>268420</v>
      </c>
      <c r="AV33" s="517">
        <v>399429</v>
      </c>
      <c r="AW33" s="518">
        <v>4227236</v>
      </c>
      <c r="AX33" s="872">
        <v>5349739</v>
      </c>
    </row>
    <row r="34" spans="1:50" x14ac:dyDescent="0.3">
      <c r="A34" s="246" t="s">
        <v>164</v>
      </c>
      <c r="B34" s="292" t="s">
        <v>165</v>
      </c>
      <c r="C34" s="286">
        <v>498027</v>
      </c>
      <c r="D34" s="288">
        <v>402495</v>
      </c>
      <c r="E34" s="286">
        <v>27951</v>
      </c>
      <c r="F34" s="288">
        <v>22855</v>
      </c>
      <c r="G34" s="298">
        <v>81304</v>
      </c>
      <c r="H34" s="290">
        <v>74402</v>
      </c>
      <c r="I34" s="288">
        <v>620795</v>
      </c>
      <c r="J34" s="290">
        <v>887775</v>
      </c>
      <c r="K34" s="290">
        <v>58093</v>
      </c>
      <c r="L34" s="290">
        <v>59497</v>
      </c>
      <c r="M34" s="301">
        <v>193413</v>
      </c>
      <c r="N34" s="301">
        <v>234464</v>
      </c>
      <c r="O34" s="290">
        <v>38054</v>
      </c>
      <c r="P34" s="885">
        <v>10806</v>
      </c>
      <c r="Q34" s="894">
        <v>20640</v>
      </c>
      <c r="R34" s="304">
        <v>27683</v>
      </c>
      <c r="S34" s="290">
        <v>142827</v>
      </c>
      <c r="T34" s="290"/>
      <c r="U34" s="290">
        <v>36873</v>
      </c>
      <c r="V34" s="290">
        <v>41079</v>
      </c>
      <c r="W34" s="290">
        <v>2177647</v>
      </c>
      <c r="X34" s="290">
        <v>2595566</v>
      </c>
      <c r="Y34" s="290">
        <v>2121519</v>
      </c>
      <c r="Z34" s="290">
        <v>2208794</v>
      </c>
      <c r="AA34" s="307">
        <v>75495</v>
      </c>
      <c r="AB34" s="308">
        <v>90416</v>
      </c>
      <c r="AC34" s="290">
        <v>341878</v>
      </c>
      <c r="AD34" s="290">
        <v>286114</v>
      </c>
      <c r="AE34" s="290">
        <v>408901</v>
      </c>
      <c r="AF34" s="290">
        <v>435687</v>
      </c>
      <c r="AG34" s="290">
        <v>695343</v>
      </c>
      <c r="AH34" s="290">
        <v>689343</v>
      </c>
      <c r="AI34" s="290">
        <v>221316</v>
      </c>
      <c r="AJ34" s="290">
        <v>193108</v>
      </c>
      <c r="AK34" s="290">
        <v>231704</v>
      </c>
      <c r="AL34" s="290">
        <v>172692</v>
      </c>
      <c r="AM34" s="310"/>
      <c r="AN34" s="310"/>
      <c r="AO34" s="655">
        <v>2389933</v>
      </c>
      <c r="AP34" s="655">
        <v>2104137</v>
      </c>
      <c r="AQ34" s="290">
        <v>63247</v>
      </c>
      <c r="AR34" s="290">
        <v>53567</v>
      </c>
      <c r="AS34" s="308">
        <v>105395</v>
      </c>
      <c r="AT34" s="308"/>
      <c r="AU34" s="290">
        <v>296727</v>
      </c>
      <c r="AV34" s="290">
        <v>335387</v>
      </c>
      <c r="AW34" s="298">
        <v>23304589</v>
      </c>
      <c r="AX34" s="479">
        <v>22865492</v>
      </c>
    </row>
    <row r="35" spans="1:50" x14ac:dyDescent="0.3">
      <c r="A35" s="246" t="s">
        <v>166</v>
      </c>
      <c r="B35" s="296"/>
      <c r="C35" s="286">
        <v>878</v>
      </c>
      <c r="D35" s="288">
        <v>487</v>
      </c>
      <c r="E35" s="286">
        <v>11</v>
      </c>
      <c r="F35" s="288">
        <v>6</v>
      </c>
      <c r="G35" s="298">
        <v>223</v>
      </c>
      <c r="H35" s="290">
        <v>112</v>
      </c>
      <c r="I35" s="288">
        <v>14071</v>
      </c>
      <c r="J35" s="290">
        <v>19800</v>
      </c>
      <c r="K35" s="290">
        <v>1411</v>
      </c>
      <c r="L35" s="290">
        <v>1530</v>
      </c>
      <c r="M35" s="301">
        <v>623</v>
      </c>
      <c r="N35" s="301">
        <v>934</v>
      </c>
      <c r="O35" s="290">
        <v>3</v>
      </c>
      <c r="P35" s="885">
        <v>1</v>
      </c>
      <c r="Q35" s="894">
        <v>2</v>
      </c>
      <c r="R35" s="304">
        <v>30</v>
      </c>
      <c r="S35" s="290">
        <v>995</v>
      </c>
      <c r="T35" s="290"/>
      <c r="U35" s="290">
        <v>210</v>
      </c>
      <c r="V35" s="290">
        <v>276</v>
      </c>
      <c r="W35" s="290">
        <v>44382</v>
      </c>
      <c r="X35" s="290">
        <v>80585</v>
      </c>
      <c r="Y35" s="290">
        <v>13987</v>
      </c>
      <c r="Z35" s="290">
        <v>15556</v>
      </c>
      <c r="AA35" s="307">
        <v>71</v>
      </c>
      <c r="AB35" s="308">
        <v>49</v>
      </c>
      <c r="AC35" s="290"/>
      <c r="AD35" s="290"/>
      <c r="AE35" s="290">
        <v>3893</v>
      </c>
      <c r="AF35" s="290">
        <v>4958</v>
      </c>
      <c r="AG35" s="290">
        <v>306</v>
      </c>
      <c r="AH35" s="290">
        <v>213</v>
      </c>
      <c r="AI35" s="290">
        <v>357</v>
      </c>
      <c r="AJ35" s="290">
        <v>223</v>
      </c>
      <c r="AK35" s="290">
        <v>36</v>
      </c>
      <c r="AL35" s="290">
        <v>31</v>
      </c>
      <c r="AM35" s="310"/>
      <c r="AN35" s="310"/>
      <c r="AO35" s="655">
        <v>6713</v>
      </c>
      <c r="AP35" s="655">
        <v>12293</v>
      </c>
      <c r="AQ35" s="290">
        <v>26</v>
      </c>
      <c r="AR35" s="290">
        <v>28</v>
      </c>
      <c r="AS35" s="308">
        <v>2</v>
      </c>
      <c r="AT35" s="308"/>
      <c r="AU35" s="290"/>
      <c r="AV35" s="290"/>
      <c r="AW35" s="298">
        <v>247000</v>
      </c>
      <c r="AX35" s="479">
        <v>273119</v>
      </c>
    </row>
    <row r="36" spans="1:50" ht="17.25" x14ac:dyDescent="0.35">
      <c r="A36" s="246" t="s">
        <v>167</v>
      </c>
      <c r="B36" s="296"/>
      <c r="C36" s="286"/>
      <c r="D36" s="289"/>
      <c r="E36" s="286"/>
      <c r="F36" s="289"/>
      <c r="G36" s="299"/>
      <c r="H36" s="291"/>
      <c r="I36" s="288"/>
      <c r="J36" s="291"/>
      <c r="K36" s="290"/>
      <c r="L36" s="291"/>
      <c r="M36" s="301"/>
      <c r="N36" s="302"/>
      <c r="O36" s="290"/>
      <c r="P36" s="887"/>
      <c r="Q36" s="894"/>
      <c r="R36" s="305"/>
      <c r="S36" s="290"/>
      <c r="T36" s="291"/>
      <c r="U36" s="290"/>
      <c r="V36" s="291"/>
      <c r="W36" s="290"/>
      <c r="X36" s="291"/>
      <c r="Y36" s="290"/>
      <c r="Z36" s="291"/>
      <c r="AA36" s="307"/>
      <c r="AB36" s="307"/>
      <c r="AC36" s="290"/>
      <c r="AD36" s="291"/>
      <c r="AE36" s="290"/>
      <c r="AF36" s="309"/>
      <c r="AG36" s="290"/>
      <c r="AH36" s="291"/>
      <c r="AI36" s="290"/>
      <c r="AJ36" s="291"/>
      <c r="AK36" s="290"/>
      <c r="AL36" s="291"/>
      <c r="AM36" s="310"/>
      <c r="AN36" s="310"/>
      <c r="AO36" s="655"/>
      <c r="AP36" s="656"/>
      <c r="AQ36" s="290"/>
      <c r="AR36" s="290"/>
      <c r="AS36" s="308"/>
      <c r="AT36" s="308"/>
      <c r="AU36" s="291"/>
      <c r="AV36" s="290"/>
      <c r="AW36" s="299"/>
      <c r="AX36" s="479"/>
    </row>
    <row r="37" spans="1:50" x14ac:dyDescent="0.3">
      <c r="A37" s="246" t="s">
        <v>168</v>
      </c>
      <c r="B37" s="296"/>
      <c r="C37" s="286">
        <v>385684</v>
      </c>
      <c r="D37" s="288">
        <v>582760</v>
      </c>
      <c r="E37" s="286">
        <v>16525</v>
      </c>
      <c r="F37" s="288">
        <v>12646</v>
      </c>
      <c r="G37" s="298">
        <v>41307</v>
      </c>
      <c r="H37" s="290">
        <v>44748</v>
      </c>
      <c r="I37" s="288">
        <v>424832</v>
      </c>
      <c r="J37" s="290">
        <v>334606</v>
      </c>
      <c r="K37" s="290">
        <v>134372</v>
      </c>
      <c r="L37" s="290">
        <v>128323</v>
      </c>
      <c r="M37" s="301">
        <v>237243</v>
      </c>
      <c r="N37" s="301">
        <v>273100</v>
      </c>
      <c r="O37" s="290">
        <v>49513</v>
      </c>
      <c r="P37" s="885">
        <v>25441</v>
      </c>
      <c r="Q37" s="894">
        <v>84624</v>
      </c>
      <c r="R37" s="304">
        <v>70813</v>
      </c>
      <c r="S37" s="290">
        <v>149979</v>
      </c>
      <c r="T37" s="290"/>
      <c r="U37" s="290">
        <v>45673</v>
      </c>
      <c r="V37" s="290">
        <v>61970</v>
      </c>
      <c r="W37" s="290">
        <v>1530100</v>
      </c>
      <c r="X37" s="290">
        <v>1378603</v>
      </c>
      <c r="Y37" s="290">
        <v>1005803</v>
      </c>
      <c r="Z37" s="290">
        <v>1114382</v>
      </c>
      <c r="AA37" s="307">
        <v>75191</v>
      </c>
      <c r="AB37" s="307">
        <v>84979</v>
      </c>
      <c r="AC37" s="290">
        <v>-4886</v>
      </c>
      <c r="AD37" s="290">
        <v>102210</v>
      </c>
      <c r="AE37" s="290">
        <v>312486</v>
      </c>
      <c r="AF37" s="290">
        <v>391012</v>
      </c>
      <c r="AG37" s="290">
        <v>746856</v>
      </c>
      <c r="AH37" s="290">
        <v>847490</v>
      </c>
      <c r="AI37" s="290">
        <v>278561</v>
      </c>
      <c r="AJ37" s="290">
        <v>355237</v>
      </c>
      <c r="AK37" s="290">
        <v>218456</v>
      </c>
      <c r="AL37" s="290">
        <v>195798</v>
      </c>
      <c r="AM37" s="310"/>
      <c r="AN37" s="310"/>
      <c r="AO37" s="655">
        <v>1297964</v>
      </c>
      <c r="AP37" s="655">
        <v>1470924</v>
      </c>
      <c r="AQ37" s="290">
        <v>84010</v>
      </c>
      <c r="AR37" s="290">
        <v>93954</v>
      </c>
      <c r="AS37" s="308">
        <v>203416</v>
      </c>
      <c r="AT37" s="308"/>
      <c r="AU37" s="290">
        <v>440160</v>
      </c>
      <c r="AV37" s="290">
        <v>624001</v>
      </c>
      <c r="AW37" s="298">
        <v>23866709</v>
      </c>
      <c r="AX37" s="479">
        <v>26941545</v>
      </c>
    </row>
    <row r="38" spans="1:50" x14ac:dyDescent="0.3">
      <c r="A38" s="246" t="s">
        <v>169</v>
      </c>
      <c r="B38" s="296"/>
      <c r="C38" s="286">
        <v>-19618</v>
      </c>
      <c r="D38" s="288">
        <v>2459</v>
      </c>
      <c r="E38" s="286">
        <v>-3423</v>
      </c>
      <c r="F38" s="288">
        <v>-645</v>
      </c>
      <c r="G38" s="298">
        <v>-2960</v>
      </c>
      <c r="H38" s="290">
        <v>4551</v>
      </c>
      <c r="I38" s="288">
        <v>-6506</v>
      </c>
      <c r="J38" s="290">
        <v>1665</v>
      </c>
      <c r="K38" s="290">
        <v>-1109</v>
      </c>
      <c r="L38" s="290">
        <v>54</v>
      </c>
      <c r="M38" s="301">
        <v>427</v>
      </c>
      <c r="N38" s="301">
        <v>-1838</v>
      </c>
      <c r="O38" s="290">
        <v>207</v>
      </c>
      <c r="P38" s="885">
        <v>801</v>
      </c>
      <c r="Q38" s="894">
        <v>-492</v>
      </c>
      <c r="R38" s="304">
        <v>1259</v>
      </c>
      <c r="S38" s="290">
        <v>-9053</v>
      </c>
      <c r="T38" s="290"/>
      <c r="U38" s="290">
        <v>-2284</v>
      </c>
      <c r="V38" s="290">
        <v>81</v>
      </c>
      <c r="W38" s="290">
        <v>-96527</v>
      </c>
      <c r="X38" s="290">
        <v>-41532</v>
      </c>
      <c r="Y38" s="290">
        <v>-50325</v>
      </c>
      <c r="Z38" s="290">
        <v>-886</v>
      </c>
      <c r="AA38" s="307">
        <v>-471</v>
      </c>
      <c r="AB38" s="307">
        <v>2713</v>
      </c>
      <c r="AC38" s="290"/>
      <c r="AD38" s="290"/>
      <c r="AE38" s="290">
        <v>-26765</v>
      </c>
      <c r="AF38" s="290">
        <v>-1842</v>
      </c>
      <c r="AG38" s="290">
        <v>-6848</v>
      </c>
      <c r="AH38" s="290">
        <v>623</v>
      </c>
      <c r="AI38" s="290">
        <v>-10268</v>
      </c>
      <c r="AJ38" s="290">
        <v>-5200</v>
      </c>
      <c r="AK38" s="290"/>
      <c r="AL38" s="290"/>
      <c r="AM38" s="310"/>
      <c r="AN38" s="310"/>
      <c r="AO38" s="655">
        <v>-11203</v>
      </c>
      <c r="AP38" s="655">
        <v>-23209</v>
      </c>
      <c r="AQ38" s="290"/>
      <c r="AR38" s="290"/>
      <c r="AS38" s="308">
        <v>-6965</v>
      </c>
      <c r="AT38" s="308"/>
      <c r="AU38" s="290">
        <v>-6994</v>
      </c>
      <c r="AV38" s="290">
        <v>-227</v>
      </c>
      <c r="AW38" s="298"/>
      <c r="AX38" s="479"/>
    </row>
    <row r="39" spans="1:50" x14ac:dyDescent="0.3">
      <c r="A39" s="246" t="s">
        <v>170</v>
      </c>
      <c r="B39" s="296"/>
      <c r="C39" s="286"/>
      <c r="D39" s="288"/>
      <c r="E39" s="286"/>
      <c r="F39" s="288"/>
      <c r="G39" s="298"/>
      <c r="H39" s="290"/>
      <c r="I39" s="288"/>
      <c r="J39" s="290"/>
      <c r="K39" s="290"/>
      <c r="L39" s="290"/>
      <c r="M39" s="301"/>
      <c r="N39" s="301"/>
      <c r="O39" s="290"/>
      <c r="P39" s="885"/>
      <c r="Q39" s="894"/>
      <c r="R39" s="304"/>
      <c r="S39" s="290"/>
      <c r="T39" s="290"/>
      <c r="U39" s="290"/>
      <c r="V39" s="290"/>
      <c r="W39" s="290"/>
      <c r="X39" s="290"/>
      <c r="Y39" s="290">
        <v>-5</v>
      </c>
      <c r="Z39" s="290">
        <v>105</v>
      </c>
      <c r="AA39" s="307"/>
      <c r="AB39" s="307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310"/>
      <c r="AN39" s="310"/>
      <c r="AO39" s="655"/>
      <c r="AP39" s="656"/>
      <c r="AQ39" s="290"/>
      <c r="AR39" s="290"/>
      <c r="AS39" s="308"/>
      <c r="AT39" s="308"/>
      <c r="AU39" s="290"/>
      <c r="AV39" s="290"/>
      <c r="AW39" s="298"/>
      <c r="AX39" s="479"/>
    </row>
    <row r="40" spans="1:50" x14ac:dyDescent="0.3">
      <c r="A40" s="246" t="s">
        <v>171</v>
      </c>
      <c r="B40" s="296"/>
      <c r="C40" s="286">
        <v>197102</v>
      </c>
      <c r="D40" s="288">
        <v>62916</v>
      </c>
      <c r="E40" s="286"/>
      <c r="F40" s="288"/>
      <c r="G40" s="298"/>
      <c r="H40" s="290"/>
      <c r="I40" s="288">
        <v>439146</v>
      </c>
      <c r="J40" s="290">
        <v>85854</v>
      </c>
      <c r="K40" s="290"/>
      <c r="L40" s="290"/>
      <c r="M40" s="301">
        <v>123568</v>
      </c>
      <c r="N40" s="301">
        <v>7157</v>
      </c>
      <c r="O40" s="290">
        <v>39</v>
      </c>
      <c r="P40" s="885">
        <v>315</v>
      </c>
      <c r="Q40" s="894"/>
      <c r="R40" s="304"/>
      <c r="S40" s="290"/>
      <c r="T40" s="290"/>
      <c r="U40" s="290">
        <v>2582</v>
      </c>
      <c r="V40" s="290">
        <v>-2466</v>
      </c>
      <c r="W40" s="290">
        <v>666721</v>
      </c>
      <c r="X40" s="290">
        <v>-68041</v>
      </c>
      <c r="Y40" s="290">
        <v>1348423</v>
      </c>
      <c r="Z40" s="290">
        <v>29360</v>
      </c>
      <c r="AA40" s="307">
        <v>56933</v>
      </c>
      <c r="AB40" s="307">
        <v>-2382</v>
      </c>
      <c r="AC40" s="290">
        <v>77414</v>
      </c>
      <c r="AD40" s="290">
        <v>54162</v>
      </c>
      <c r="AE40" s="290"/>
      <c r="AF40" s="290"/>
      <c r="AG40" s="290">
        <v>316417</v>
      </c>
      <c r="AH40" s="290">
        <v>111184</v>
      </c>
      <c r="AI40" s="290"/>
      <c r="AJ40" s="290"/>
      <c r="AK40" s="290"/>
      <c r="AL40" s="290">
        <v>85</v>
      </c>
      <c r="AM40" s="310"/>
      <c r="AN40" s="310"/>
      <c r="AO40" s="655">
        <v>1866327</v>
      </c>
      <c r="AP40" s="655">
        <v>1587471</v>
      </c>
      <c r="AQ40" s="290">
        <v>-568</v>
      </c>
      <c r="AR40" s="290">
        <v>-2807</v>
      </c>
      <c r="AS40" s="308"/>
      <c r="AT40" s="308"/>
      <c r="AU40" s="290"/>
      <c r="AV40" s="290"/>
      <c r="AW40" s="298"/>
      <c r="AX40" s="479"/>
    </row>
    <row r="41" spans="1:50" ht="17.25" x14ac:dyDescent="0.35">
      <c r="A41" s="246" t="s">
        <v>172</v>
      </c>
      <c r="B41" s="296"/>
      <c r="C41" s="286">
        <v>31148</v>
      </c>
      <c r="D41" s="289">
        <v>24954</v>
      </c>
      <c r="E41" s="286"/>
      <c r="F41" s="289"/>
      <c r="G41" s="299">
        <v>558</v>
      </c>
      <c r="H41" s="291">
        <v>1872</v>
      </c>
      <c r="I41" s="288">
        <v>8761</v>
      </c>
      <c r="J41" s="291">
        <v>13980</v>
      </c>
      <c r="K41" s="290"/>
      <c r="L41" s="291"/>
      <c r="M41" s="301">
        <v>5093</v>
      </c>
      <c r="N41" s="302">
        <v>7770</v>
      </c>
      <c r="O41" s="290">
        <v>411</v>
      </c>
      <c r="P41" s="887">
        <v>-483</v>
      </c>
      <c r="Q41" s="894"/>
      <c r="R41" s="305"/>
      <c r="S41" s="290">
        <v>39</v>
      </c>
      <c r="T41" s="291"/>
      <c r="U41" s="290">
        <v>3482</v>
      </c>
      <c r="V41" s="291">
        <v>3394</v>
      </c>
      <c r="W41" s="290">
        <v>52498</v>
      </c>
      <c r="X41" s="291">
        <v>-17005</v>
      </c>
      <c r="Y41" s="290">
        <v>19843</v>
      </c>
      <c r="Z41" s="291">
        <v>-91963</v>
      </c>
      <c r="AA41" s="307">
        <v>4244</v>
      </c>
      <c r="AB41" s="307">
        <v>-937</v>
      </c>
      <c r="AC41" s="290">
        <v>10206</v>
      </c>
      <c r="AD41" s="291">
        <v>5526</v>
      </c>
      <c r="AE41" s="290">
        <v>10676</v>
      </c>
      <c r="AF41" s="309">
        <v>-3578</v>
      </c>
      <c r="AG41" s="290">
        <v>87909</v>
      </c>
      <c r="AH41" s="291">
        <v>69955</v>
      </c>
      <c r="AI41" s="290">
        <v>25044</v>
      </c>
      <c r="AJ41" s="291">
        <v>19593</v>
      </c>
      <c r="AK41" s="290"/>
      <c r="AL41" s="291">
        <v>20167</v>
      </c>
      <c r="AM41" s="310"/>
      <c r="AN41" s="310"/>
      <c r="AO41" s="655">
        <v>133870</v>
      </c>
      <c r="AP41" s="655">
        <v>104692</v>
      </c>
      <c r="AQ41" s="290">
        <v>214</v>
      </c>
      <c r="AR41" s="290">
        <v>148</v>
      </c>
      <c r="AS41" s="290">
        <v>4518</v>
      </c>
      <c r="AT41" s="308"/>
      <c r="AU41" s="291">
        <v>30922</v>
      </c>
      <c r="AV41" s="290">
        <v>43719</v>
      </c>
      <c r="AW41" s="299">
        <v>2540</v>
      </c>
      <c r="AX41" s="479">
        <v>6595</v>
      </c>
    </row>
    <row r="42" spans="1:50" ht="17.25" x14ac:dyDescent="0.35">
      <c r="A42" s="246" t="s">
        <v>199</v>
      </c>
      <c r="B42" s="296"/>
      <c r="C42" s="286"/>
      <c r="D42" s="289"/>
      <c r="E42" s="286">
        <v>7860</v>
      </c>
      <c r="F42" s="289"/>
      <c r="G42" s="299">
        <v>25980</v>
      </c>
      <c r="H42" s="291">
        <v>-14716</v>
      </c>
      <c r="I42" s="288"/>
      <c r="J42" s="291"/>
      <c r="K42" s="290"/>
      <c r="L42" s="291"/>
      <c r="M42" s="301"/>
      <c r="N42" s="302"/>
      <c r="O42" s="290"/>
      <c r="P42" s="887"/>
      <c r="Q42" s="894"/>
      <c r="R42" s="305"/>
      <c r="S42" s="290">
        <v>15666</v>
      </c>
      <c r="T42" s="291"/>
      <c r="U42" s="290"/>
      <c r="V42" s="291"/>
      <c r="W42" s="290"/>
      <c r="X42" s="291"/>
      <c r="Y42" s="290"/>
      <c r="Z42" s="291"/>
      <c r="AA42" s="307"/>
      <c r="AB42" s="307"/>
      <c r="AC42" s="290"/>
      <c r="AD42" s="291"/>
      <c r="AE42" s="290">
        <v>272986</v>
      </c>
      <c r="AF42" s="309">
        <v>47138</v>
      </c>
      <c r="AG42" s="290"/>
      <c r="AH42" s="291"/>
      <c r="AI42" s="290">
        <v>67747</v>
      </c>
      <c r="AJ42" s="291">
        <v>2747</v>
      </c>
      <c r="AK42" s="290"/>
      <c r="AL42" s="291"/>
      <c r="AM42" s="310"/>
      <c r="AN42" s="310"/>
      <c r="AO42" s="655"/>
      <c r="AP42" s="655"/>
      <c r="AQ42" s="290"/>
      <c r="AR42" s="290"/>
      <c r="AS42" s="290">
        <v>10306</v>
      </c>
      <c r="AT42" s="308"/>
      <c r="AU42" s="291">
        <v>313712</v>
      </c>
      <c r="AV42" s="290">
        <v>123044</v>
      </c>
      <c r="AW42" s="299">
        <v>-952785</v>
      </c>
      <c r="AX42" s="479">
        <v>214465</v>
      </c>
    </row>
    <row r="43" spans="1:50" ht="17.25" x14ac:dyDescent="0.35">
      <c r="A43" s="246" t="s">
        <v>200</v>
      </c>
      <c r="B43" s="296"/>
      <c r="C43" s="286"/>
      <c r="D43" s="289"/>
      <c r="E43" s="286"/>
      <c r="F43" s="289"/>
      <c r="G43" s="299"/>
      <c r="H43" s="291"/>
      <c r="I43" s="288">
        <v>-126</v>
      </c>
      <c r="J43" s="291">
        <v>364</v>
      </c>
      <c r="K43" s="290"/>
      <c r="L43" s="291"/>
      <c r="M43" s="301"/>
      <c r="N43" s="302"/>
      <c r="O43" s="290"/>
      <c r="P43" s="887"/>
      <c r="Q43" s="894"/>
      <c r="R43" s="305"/>
      <c r="S43" s="290"/>
      <c r="T43" s="291"/>
      <c r="U43" s="290"/>
      <c r="V43" s="291"/>
      <c r="W43" s="290"/>
      <c r="X43" s="291"/>
      <c r="Y43" s="290"/>
      <c r="Z43" s="291"/>
      <c r="AA43" s="307"/>
      <c r="AB43" s="307"/>
      <c r="AC43" s="290"/>
      <c r="AD43" s="291"/>
      <c r="AE43" s="290"/>
      <c r="AF43" s="309"/>
      <c r="AG43" s="290"/>
      <c r="AH43" s="291"/>
      <c r="AI43" s="290"/>
      <c r="AJ43" s="291"/>
      <c r="AK43" s="290"/>
      <c r="AL43" s="291"/>
      <c r="AM43" s="310"/>
      <c r="AN43" s="310"/>
      <c r="AO43" s="655"/>
      <c r="AP43" s="655"/>
      <c r="AQ43" s="290"/>
      <c r="AR43" s="290"/>
      <c r="AS43" s="290"/>
      <c r="AT43" s="308"/>
      <c r="AU43" s="291"/>
      <c r="AV43" s="290"/>
      <c r="AW43" s="299"/>
      <c r="AX43" s="479"/>
    </row>
    <row r="44" spans="1:50" ht="17.25" x14ac:dyDescent="0.35">
      <c r="A44" s="246" t="s">
        <v>214</v>
      </c>
      <c r="B44" s="296"/>
      <c r="C44" s="286"/>
      <c r="D44" s="289"/>
      <c r="E44" s="286"/>
      <c r="F44" s="289"/>
      <c r="G44" s="299"/>
      <c r="H44" s="291"/>
      <c r="I44" s="288"/>
      <c r="J44" s="291"/>
      <c r="K44" s="290"/>
      <c r="L44" s="291"/>
      <c r="M44" s="301"/>
      <c r="N44" s="302"/>
      <c r="O44" s="290"/>
      <c r="P44" s="887"/>
      <c r="Q44" s="894"/>
      <c r="R44" s="305"/>
      <c r="S44" s="290"/>
      <c r="T44" s="291"/>
      <c r="U44" s="290"/>
      <c r="V44" s="291"/>
      <c r="W44" s="290"/>
      <c r="X44" s="291"/>
      <c r="Y44" s="290"/>
      <c r="Z44" s="291"/>
      <c r="AA44" s="307"/>
      <c r="AB44" s="307"/>
      <c r="AC44" s="290"/>
      <c r="AD44" s="291"/>
      <c r="AE44" s="290"/>
      <c r="AF44" s="309"/>
      <c r="AG44" s="290"/>
      <c r="AH44" s="291"/>
      <c r="AI44" s="290"/>
      <c r="AJ44" s="291"/>
      <c r="AK44" s="290"/>
      <c r="AL44" s="291"/>
      <c r="AM44" s="310"/>
      <c r="AN44" s="310"/>
      <c r="AO44" s="655"/>
      <c r="AP44" s="655"/>
      <c r="AQ44" s="290"/>
      <c r="AR44" s="290"/>
      <c r="AS44" s="290"/>
      <c r="AT44" s="308"/>
      <c r="AU44" s="291"/>
      <c r="AV44" s="290"/>
      <c r="AW44" s="299"/>
      <c r="AX44" s="479"/>
    </row>
    <row r="45" spans="1:50" s="523" customFormat="1" ht="18" x14ac:dyDescent="0.35">
      <c r="A45" s="514" t="s">
        <v>173</v>
      </c>
      <c r="B45" s="515"/>
      <c r="C45" s="873">
        <v>1093221</v>
      </c>
      <c r="D45" s="516">
        <v>1076071</v>
      </c>
      <c r="E45" s="873">
        <v>48923</v>
      </c>
      <c r="F45" s="516">
        <v>34861</v>
      </c>
      <c r="G45" s="518">
        <v>146412</v>
      </c>
      <c r="H45" s="517">
        <v>110969</v>
      </c>
      <c r="I45" s="516">
        <v>1500991</v>
      </c>
      <c r="J45" s="517">
        <v>1344044</v>
      </c>
      <c r="K45" s="517">
        <v>192767</v>
      </c>
      <c r="L45" s="517">
        <v>189404</v>
      </c>
      <c r="M45" s="519">
        <v>560367</v>
      </c>
      <c r="N45" s="519">
        <v>521587</v>
      </c>
      <c r="O45" s="517">
        <v>88227</v>
      </c>
      <c r="P45" s="886">
        <v>36881</v>
      </c>
      <c r="Q45" s="895">
        <v>104774</v>
      </c>
      <c r="R45" s="520">
        <v>99784</v>
      </c>
      <c r="S45" s="517">
        <v>300453</v>
      </c>
      <c r="T45" s="517"/>
      <c r="U45" s="517">
        <v>86536</v>
      </c>
      <c r="V45" s="517">
        <v>104334</v>
      </c>
      <c r="W45" s="517">
        <v>4372841</v>
      </c>
      <c r="X45" s="517">
        <v>3928176</v>
      </c>
      <c r="Y45" s="517">
        <v>4459245</v>
      </c>
      <c r="Z45" s="517">
        <v>3275348</v>
      </c>
      <c r="AA45" s="532">
        <v>211463</v>
      </c>
      <c r="AB45" s="521">
        <v>174838</v>
      </c>
      <c r="AC45" s="517">
        <v>424613</v>
      </c>
      <c r="AD45" s="517">
        <v>448013</v>
      </c>
      <c r="AE45" s="517">
        <v>982177</v>
      </c>
      <c r="AF45" s="517">
        <v>873375</v>
      </c>
      <c r="AG45" s="517">
        <v>1839712</v>
      </c>
      <c r="AH45" s="517">
        <v>1718807</v>
      </c>
      <c r="AI45" s="517">
        <v>582757</v>
      </c>
      <c r="AJ45" s="517">
        <v>565708</v>
      </c>
      <c r="AK45" s="517">
        <v>450196</v>
      </c>
      <c r="AL45" s="517">
        <v>388773</v>
      </c>
      <c r="AM45" s="522"/>
      <c r="AN45" s="522"/>
      <c r="AO45" s="657">
        <v>5683624</v>
      </c>
      <c r="AP45" s="657">
        <v>5256307</v>
      </c>
      <c r="AQ45" s="517">
        <v>146930</v>
      </c>
      <c r="AR45" s="517">
        <v>144889</v>
      </c>
      <c r="AS45" s="521">
        <v>316672</v>
      </c>
      <c r="AT45" s="521"/>
      <c r="AU45" s="517">
        <v>1088514</v>
      </c>
      <c r="AV45" s="517">
        <v>1125924</v>
      </c>
      <c r="AW45" s="518">
        <v>46578420</v>
      </c>
      <c r="AX45" s="872">
        <v>50301216</v>
      </c>
    </row>
    <row r="46" spans="1:50" s="523" customFormat="1" ht="18" x14ac:dyDescent="0.35">
      <c r="A46" s="514" t="s">
        <v>174</v>
      </c>
      <c r="B46" s="515"/>
      <c r="C46" s="873">
        <v>12825</v>
      </c>
      <c r="D46" s="516">
        <v>19173</v>
      </c>
      <c r="E46" s="873">
        <v>-3274</v>
      </c>
      <c r="F46" s="516">
        <v>4285</v>
      </c>
      <c r="G46" s="518">
        <v>4821</v>
      </c>
      <c r="H46" s="517">
        <v>6716</v>
      </c>
      <c r="I46" s="516">
        <v>-16292</v>
      </c>
      <c r="J46" s="517">
        <v>-18620</v>
      </c>
      <c r="K46" s="517">
        <v>-24024</v>
      </c>
      <c r="L46" s="517">
        <v>-18787</v>
      </c>
      <c r="M46" s="519">
        <v>-12575</v>
      </c>
      <c r="N46" s="519">
        <v>6477</v>
      </c>
      <c r="O46" s="517">
        <v>-2874</v>
      </c>
      <c r="P46" s="886">
        <v>2398</v>
      </c>
      <c r="Q46" s="895">
        <v>231</v>
      </c>
      <c r="R46" s="520">
        <v>433</v>
      </c>
      <c r="S46" s="517">
        <v>2331</v>
      </c>
      <c r="T46" s="517"/>
      <c r="U46" s="517"/>
      <c r="V46" s="517">
        <v>2438</v>
      </c>
      <c r="W46" s="517">
        <v>40731</v>
      </c>
      <c r="X46" s="517">
        <v>80084</v>
      </c>
      <c r="Y46" s="517">
        <v>111976</v>
      </c>
      <c r="Z46" s="517">
        <v>157999</v>
      </c>
      <c r="AA46" s="532">
        <v>8758</v>
      </c>
      <c r="AB46" s="521">
        <v>8238</v>
      </c>
      <c r="AC46" s="517">
        <v>27045</v>
      </c>
      <c r="AD46" s="517">
        <v>13674</v>
      </c>
      <c r="AE46" s="517">
        <v>1966</v>
      </c>
      <c r="AF46" s="517">
        <v>64856</v>
      </c>
      <c r="AG46" s="517">
        <v>27092</v>
      </c>
      <c r="AH46" s="517">
        <v>57142</v>
      </c>
      <c r="AI46" s="517">
        <v>22894</v>
      </c>
      <c r="AJ46" s="517">
        <v>9152</v>
      </c>
      <c r="AK46" s="517">
        <v>4747</v>
      </c>
      <c r="AL46" s="517">
        <v>4097</v>
      </c>
      <c r="AM46" s="522"/>
      <c r="AN46" s="522"/>
      <c r="AO46" s="657">
        <v>60539</v>
      </c>
      <c r="AP46" s="657">
        <v>91400</v>
      </c>
      <c r="AQ46" s="517">
        <v>-9368</v>
      </c>
      <c r="AR46" s="517">
        <v>7634</v>
      </c>
      <c r="AS46" s="521">
        <v>-9802</v>
      </c>
      <c r="AT46" s="521"/>
      <c r="AU46" s="517">
        <v>23043</v>
      </c>
      <c r="AV46" s="517">
        <v>89290</v>
      </c>
      <c r="AW46" s="518">
        <v>159401</v>
      </c>
      <c r="AX46" s="872">
        <v>3144242</v>
      </c>
    </row>
    <row r="47" spans="1:50" ht="17.25" x14ac:dyDescent="0.35">
      <c r="A47" s="292" t="s">
        <v>208</v>
      </c>
      <c r="B47" s="296"/>
      <c r="C47" s="286"/>
      <c r="D47" s="289"/>
      <c r="E47" s="286"/>
      <c r="F47" s="289"/>
      <c r="G47" s="298"/>
      <c r="H47" s="290"/>
      <c r="I47" s="288"/>
      <c r="J47" s="290"/>
      <c r="K47" s="290"/>
      <c r="L47" s="290"/>
      <c r="M47" s="301"/>
      <c r="N47" s="301"/>
      <c r="O47" s="290"/>
      <c r="P47" s="885"/>
      <c r="Q47" s="894"/>
      <c r="R47" s="305"/>
      <c r="S47" s="290"/>
      <c r="T47" s="290"/>
      <c r="U47" s="290"/>
      <c r="V47" s="290"/>
      <c r="W47" s="290"/>
      <c r="X47" s="290"/>
      <c r="Y47" s="290">
        <v>-7348</v>
      </c>
      <c r="Z47" s="290">
        <v>-13716</v>
      </c>
      <c r="AA47" s="307">
        <v>603</v>
      </c>
      <c r="AB47" s="308">
        <v>482</v>
      </c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310"/>
      <c r="AN47" s="310"/>
      <c r="AO47" s="655"/>
      <c r="AP47" s="659"/>
      <c r="AQ47" s="290"/>
      <c r="AR47" s="290"/>
      <c r="AS47" s="308"/>
      <c r="AT47" s="308"/>
      <c r="AU47" s="290"/>
      <c r="AV47" s="290"/>
      <c r="AW47" s="298"/>
      <c r="AX47" s="479"/>
    </row>
    <row r="48" spans="1:50" x14ac:dyDescent="0.3">
      <c r="A48" s="292" t="s">
        <v>175</v>
      </c>
      <c r="B48" s="296"/>
      <c r="C48" s="286"/>
      <c r="D48" s="288"/>
      <c r="E48" s="286"/>
      <c r="F48" s="288"/>
      <c r="G48" s="298"/>
      <c r="H48" s="290"/>
      <c r="I48" s="288"/>
      <c r="J48" s="290"/>
      <c r="K48" s="290"/>
      <c r="L48" s="290"/>
      <c r="M48" s="301"/>
      <c r="N48" s="301"/>
      <c r="O48" s="290"/>
      <c r="P48" s="885"/>
      <c r="Q48" s="894"/>
      <c r="R48" s="304"/>
      <c r="S48" s="290"/>
      <c r="T48" s="290"/>
      <c r="U48" s="290"/>
      <c r="V48" s="290"/>
      <c r="W48" s="290"/>
      <c r="X48" s="290"/>
      <c r="Y48" s="290"/>
      <c r="Z48" s="290"/>
      <c r="AA48" s="307"/>
      <c r="AB48" s="308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310"/>
      <c r="AN48" s="310"/>
      <c r="AO48" s="655"/>
      <c r="AP48" s="656"/>
      <c r="AQ48" s="290"/>
      <c r="AR48" s="290"/>
      <c r="AS48" s="308"/>
      <c r="AT48" s="308"/>
      <c r="AU48" s="290"/>
      <c r="AV48" s="290"/>
      <c r="AW48" s="298"/>
      <c r="AX48" s="479"/>
    </row>
    <row r="49" spans="1:50" x14ac:dyDescent="0.3">
      <c r="A49" s="292" t="s">
        <v>203</v>
      </c>
      <c r="B49" s="296"/>
      <c r="C49" s="286"/>
      <c r="D49" s="288"/>
      <c r="E49" s="286"/>
      <c r="F49" s="288"/>
      <c r="G49" s="298"/>
      <c r="H49" s="290"/>
      <c r="I49" s="288"/>
      <c r="J49" s="290"/>
      <c r="K49" s="290"/>
      <c r="L49" s="290"/>
      <c r="M49" s="301"/>
      <c r="N49" s="301"/>
      <c r="O49" s="290"/>
      <c r="P49" s="885"/>
      <c r="Q49" s="894"/>
      <c r="R49" s="304"/>
      <c r="S49" s="290"/>
      <c r="T49" s="290"/>
      <c r="U49" s="290"/>
      <c r="V49" s="290"/>
      <c r="W49" s="290"/>
      <c r="X49" s="290"/>
      <c r="Y49" s="290"/>
      <c r="Z49" s="290"/>
      <c r="AA49" s="307"/>
      <c r="AB49" s="308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310"/>
      <c r="AN49" s="310"/>
      <c r="AO49" s="655"/>
      <c r="AP49" s="656"/>
      <c r="AQ49" s="290"/>
      <c r="AR49" s="290"/>
      <c r="AS49" s="308"/>
      <c r="AT49" s="308"/>
      <c r="AU49" s="290"/>
      <c r="AV49" s="290"/>
      <c r="AW49" s="298"/>
      <c r="AX49" s="479"/>
    </row>
    <row r="50" spans="1:50" x14ac:dyDescent="0.3">
      <c r="A50" s="246" t="s">
        <v>176</v>
      </c>
      <c r="B50" s="296"/>
      <c r="C50" s="286"/>
      <c r="D50" s="288"/>
      <c r="E50" s="286"/>
      <c r="F50" s="288"/>
      <c r="G50" s="298"/>
      <c r="H50" s="290"/>
      <c r="I50" s="288">
        <v>32288</v>
      </c>
      <c r="J50" s="290"/>
      <c r="K50" s="290"/>
      <c r="L50" s="290"/>
      <c r="M50" s="301"/>
      <c r="N50" s="301"/>
      <c r="O50" s="290"/>
      <c r="P50" s="885"/>
      <c r="Q50" s="894"/>
      <c r="R50" s="304"/>
      <c r="S50" s="290"/>
      <c r="T50" s="290"/>
      <c r="U50" s="290"/>
      <c r="V50" s="290"/>
      <c r="W50" s="290"/>
      <c r="X50" s="290"/>
      <c r="Y50" s="290"/>
      <c r="Z50" s="290"/>
      <c r="AA50" s="307"/>
      <c r="AB50" s="308"/>
      <c r="AC50" s="290">
        <v>27045</v>
      </c>
      <c r="AD50" s="290"/>
      <c r="AE50" s="290"/>
      <c r="AF50" s="290"/>
      <c r="AG50" s="290">
        <v>40096</v>
      </c>
      <c r="AH50" s="290">
        <v>69190</v>
      </c>
      <c r="AI50" s="290"/>
      <c r="AJ50" s="290"/>
      <c r="AK50" s="290"/>
      <c r="AL50" s="290"/>
      <c r="AM50" s="310"/>
      <c r="AN50" s="310"/>
      <c r="AO50" s="655">
        <v>60539</v>
      </c>
      <c r="AP50" s="655"/>
      <c r="AQ50" s="290"/>
      <c r="AR50" s="290"/>
      <c r="AS50" s="308"/>
      <c r="AT50" s="308"/>
      <c r="AU50" s="290"/>
      <c r="AV50" s="290"/>
      <c r="AW50" s="298"/>
      <c r="AX50" s="479"/>
    </row>
    <row r="51" spans="1:50" ht="17.25" x14ac:dyDescent="0.35">
      <c r="A51" s="292" t="s">
        <v>99</v>
      </c>
      <c r="B51" s="296"/>
      <c r="C51" s="286"/>
      <c r="D51" s="289"/>
      <c r="E51" s="286"/>
      <c r="F51" s="289"/>
      <c r="G51" s="299"/>
      <c r="H51" s="291"/>
      <c r="I51" s="288"/>
      <c r="J51" s="291"/>
      <c r="K51" s="290"/>
      <c r="L51" s="291"/>
      <c r="M51" s="301"/>
      <c r="N51" s="302"/>
      <c r="O51" s="290"/>
      <c r="P51" s="887"/>
      <c r="Q51" s="894"/>
      <c r="R51" s="305"/>
      <c r="S51" s="290"/>
      <c r="T51" s="291"/>
      <c r="U51" s="290"/>
      <c r="V51" s="291"/>
      <c r="W51" s="290"/>
      <c r="X51" s="291"/>
      <c r="Y51" s="290"/>
      <c r="Z51" s="291"/>
      <c r="AA51" s="307"/>
      <c r="AB51" s="290"/>
      <c r="AC51" s="290"/>
      <c r="AD51" s="291"/>
      <c r="AE51" s="290"/>
      <c r="AF51" s="309"/>
      <c r="AG51" s="290"/>
      <c r="AH51" s="291"/>
      <c r="AI51" s="290"/>
      <c r="AJ51" s="291"/>
      <c r="AK51" s="290"/>
      <c r="AL51" s="291"/>
      <c r="AM51" s="310"/>
      <c r="AN51" s="310"/>
      <c r="AO51" s="655"/>
      <c r="AP51" s="656"/>
      <c r="AQ51" s="290"/>
      <c r="AR51" s="290"/>
      <c r="AS51" s="290"/>
      <c r="AT51" s="308"/>
      <c r="AU51" s="291"/>
      <c r="AV51" s="290"/>
      <c r="AW51" s="299"/>
      <c r="AX51" s="479"/>
    </row>
    <row r="52" spans="1:50" x14ac:dyDescent="0.3">
      <c r="A52" s="246" t="s">
        <v>177</v>
      </c>
      <c r="B52" s="296"/>
      <c r="C52" s="286">
        <v>12822</v>
      </c>
      <c r="D52" s="288">
        <v>19173</v>
      </c>
      <c r="E52" s="286"/>
      <c r="F52" s="288"/>
      <c r="G52" s="298"/>
      <c r="H52" s="290"/>
      <c r="I52" s="288">
        <v>24201</v>
      </c>
      <c r="J52" s="290">
        <v>54576</v>
      </c>
      <c r="K52" s="290">
        <v>-26771</v>
      </c>
      <c r="L52" s="290">
        <v>-20230</v>
      </c>
      <c r="M52" s="301"/>
      <c r="N52" s="301"/>
      <c r="O52" s="290">
        <v>2237</v>
      </c>
      <c r="P52" s="885">
        <v>1813</v>
      </c>
      <c r="Q52" s="894"/>
      <c r="R52" s="306"/>
      <c r="S52" s="290"/>
      <c r="T52" s="290"/>
      <c r="U52" s="290"/>
      <c r="V52" s="290"/>
      <c r="W52" s="290">
        <v>50932</v>
      </c>
      <c r="X52" s="290">
        <v>89698</v>
      </c>
      <c r="Y52" s="290">
        <v>109212</v>
      </c>
      <c r="Z52" s="290">
        <v>119391</v>
      </c>
      <c r="AA52" s="307"/>
      <c r="AB52" s="308"/>
      <c r="AC52" s="290">
        <v>9968</v>
      </c>
      <c r="AD52" s="290">
        <v>13775.73</v>
      </c>
      <c r="AE52" s="290">
        <v>12418</v>
      </c>
      <c r="AF52" s="290">
        <v>73782</v>
      </c>
      <c r="AG52" s="290">
        <v>18881</v>
      </c>
      <c r="AH52" s="290">
        <v>37780</v>
      </c>
      <c r="AI52" s="290">
        <v>3370</v>
      </c>
      <c r="AJ52" s="290">
        <v>8290</v>
      </c>
      <c r="AK52" s="290"/>
      <c r="AL52" s="290"/>
      <c r="AM52" s="310"/>
      <c r="AN52" s="310"/>
      <c r="AO52" s="655">
        <v>26129</v>
      </c>
      <c r="AP52" s="655">
        <v>10438</v>
      </c>
      <c r="AQ52" s="290"/>
      <c r="AR52" s="290"/>
      <c r="AS52" s="308">
        <v>10581</v>
      </c>
      <c r="AT52" s="308"/>
      <c r="AU52" s="290">
        <v>2871</v>
      </c>
      <c r="AV52" s="290">
        <v>53616</v>
      </c>
      <c r="AW52" s="298">
        <v>159401</v>
      </c>
      <c r="AX52" s="479">
        <v>2258613</v>
      </c>
    </row>
    <row r="53" spans="1:50" x14ac:dyDescent="0.3">
      <c r="A53" s="246" t="s">
        <v>197</v>
      </c>
      <c r="B53" s="296"/>
      <c r="C53" s="286"/>
      <c r="D53" s="288"/>
      <c r="E53" s="286"/>
      <c r="F53" s="288"/>
      <c r="G53" s="298">
        <v>4553</v>
      </c>
      <c r="H53" s="290">
        <v>6442</v>
      </c>
      <c r="I53" s="288"/>
      <c r="J53" s="290"/>
      <c r="K53" s="290"/>
      <c r="L53" s="290"/>
      <c r="M53" s="301">
        <v>7548</v>
      </c>
      <c r="N53" s="301">
        <v>12546</v>
      </c>
      <c r="O53" s="290"/>
      <c r="P53" s="885"/>
      <c r="Q53" s="894">
        <v>59</v>
      </c>
      <c r="R53" s="306">
        <v>164</v>
      </c>
      <c r="S53" s="290">
        <v>2331</v>
      </c>
      <c r="T53" s="290"/>
      <c r="U53" s="290"/>
      <c r="V53" s="290"/>
      <c r="W53" s="290"/>
      <c r="X53" s="290"/>
      <c r="Y53" s="290"/>
      <c r="Z53" s="290"/>
      <c r="AA53" s="307">
        <v>-4273</v>
      </c>
      <c r="AB53" s="308">
        <v>-865</v>
      </c>
      <c r="AC53" s="290">
        <v>-405</v>
      </c>
      <c r="AD53" s="290">
        <v>-3564</v>
      </c>
      <c r="AE53" s="290"/>
      <c r="AF53" s="290"/>
      <c r="AG53" s="290"/>
      <c r="AH53" s="290"/>
      <c r="AI53" s="290"/>
      <c r="AJ53" s="290"/>
      <c r="AK53" s="290">
        <v>2790</v>
      </c>
      <c r="AL53" s="290"/>
      <c r="AM53" s="310"/>
      <c r="AN53" s="310"/>
      <c r="AO53" s="655"/>
      <c r="AP53" s="655"/>
      <c r="AQ53" s="290"/>
      <c r="AR53" s="290"/>
      <c r="AS53" s="308">
        <v>3855</v>
      </c>
      <c r="AT53" s="308"/>
      <c r="AU53" s="290"/>
      <c r="AV53" s="290"/>
      <c r="AW53" s="298"/>
      <c r="AX53" s="479"/>
    </row>
    <row r="54" spans="1:50" x14ac:dyDescent="0.3">
      <c r="A54" s="246" t="s">
        <v>178</v>
      </c>
      <c r="B54" s="296"/>
      <c r="C54" s="286"/>
      <c r="D54" s="288"/>
      <c r="E54" s="286">
        <v>-7036</v>
      </c>
      <c r="F54" s="288">
        <v>1072</v>
      </c>
      <c r="G54" s="298"/>
      <c r="H54" s="290"/>
      <c r="I54" s="288"/>
      <c r="J54" s="290"/>
      <c r="K54" s="290"/>
      <c r="L54" s="290"/>
      <c r="M54" s="301"/>
      <c r="N54" s="301"/>
      <c r="O54" s="290"/>
      <c r="P54" s="885"/>
      <c r="Q54" s="894"/>
      <c r="R54" s="306"/>
      <c r="S54" s="290"/>
      <c r="T54" s="290"/>
      <c r="U54" s="290"/>
      <c r="V54" s="290"/>
      <c r="W54" s="290"/>
      <c r="X54" s="290"/>
      <c r="Y54" s="290"/>
      <c r="Z54" s="290"/>
      <c r="AA54" s="307"/>
      <c r="AB54" s="308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310"/>
      <c r="AN54" s="310"/>
      <c r="AO54" s="655"/>
      <c r="AP54" s="656"/>
      <c r="AQ54" s="290"/>
      <c r="AR54" s="290"/>
      <c r="AS54" s="308"/>
      <c r="AT54" s="308"/>
      <c r="AU54" s="290"/>
      <c r="AV54" s="290"/>
      <c r="AW54" s="298"/>
      <c r="AX54" s="479"/>
    </row>
    <row r="55" spans="1:50" x14ac:dyDescent="0.3">
      <c r="A55" s="246" t="s">
        <v>179</v>
      </c>
      <c r="B55" s="296"/>
      <c r="C55" s="286"/>
      <c r="D55" s="288"/>
      <c r="E55" s="286">
        <v>3762</v>
      </c>
      <c r="F55" s="288">
        <v>3213</v>
      </c>
      <c r="G55" s="298">
        <v>268</v>
      </c>
      <c r="H55" s="290">
        <v>274</v>
      </c>
      <c r="I55" s="288">
        <v>8287</v>
      </c>
      <c r="J55" s="290">
        <v>4994</v>
      </c>
      <c r="K55" s="290">
        <v>2746</v>
      </c>
      <c r="L55" s="290">
        <v>1443</v>
      </c>
      <c r="M55" s="301">
        <v>484</v>
      </c>
      <c r="N55" s="301">
        <v>5270</v>
      </c>
      <c r="O55" s="290">
        <v>1591</v>
      </c>
      <c r="P55" s="885">
        <v>585</v>
      </c>
      <c r="Q55" s="894">
        <v>171</v>
      </c>
      <c r="R55" s="306">
        <v>269</v>
      </c>
      <c r="S55" s="290"/>
      <c r="T55" s="290"/>
      <c r="U55" s="290"/>
      <c r="V55" s="290">
        <v>2438</v>
      </c>
      <c r="W55" s="290">
        <v>-10201</v>
      </c>
      <c r="X55" s="290">
        <v>-9614</v>
      </c>
      <c r="Y55" s="290">
        <v>-4584</v>
      </c>
      <c r="Z55" s="290">
        <v>24892</v>
      </c>
      <c r="AA55" s="307">
        <v>12428</v>
      </c>
      <c r="AB55" s="308">
        <v>8621</v>
      </c>
      <c r="AC55" s="290">
        <v>1782</v>
      </c>
      <c r="AD55" s="290">
        <v>3462</v>
      </c>
      <c r="AE55" s="290"/>
      <c r="AF55" s="290">
        <v>-994</v>
      </c>
      <c r="AG55" s="290">
        <v>21215</v>
      </c>
      <c r="AH55" s="290">
        <v>31409</v>
      </c>
      <c r="AI55" s="290">
        <v>19524</v>
      </c>
      <c r="AJ55" s="290">
        <v>862</v>
      </c>
      <c r="AK55" s="290">
        <v>1957</v>
      </c>
      <c r="AL55" s="290">
        <v>2142</v>
      </c>
      <c r="AM55" s="310"/>
      <c r="AN55" s="310"/>
      <c r="AO55" s="655">
        <v>34411</v>
      </c>
      <c r="AP55" s="655">
        <v>50962</v>
      </c>
      <c r="AQ55" s="290">
        <v>286</v>
      </c>
      <c r="AR55" s="290"/>
      <c r="AS55" s="308">
        <v>3237</v>
      </c>
      <c r="AT55" s="308"/>
      <c r="AU55" s="290">
        <v>20172</v>
      </c>
      <c r="AV55" s="290">
        <v>35673</v>
      </c>
      <c r="AW55" s="298"/>
      <c r="AX55" s="479"/>
    </row>
    <row r="56" spans="1:50" s="523" customFormat="1" ht="18" x14ac:dyDescent="0.35">
      <c r="A56" s="514" t="s">
        <v>209</v>
      </c>
      <c r="B56" s="515"/>
      <c r="C56" s="873">
        <v>12822</v>
      </c>
      <c r="D56" s="516">
        <v>19173</v>
      </c>
      <c r="E56" s="873">
        <v>-3274</v>
      </c>
      <c r="F56" s="516">
        <v>4285</v>
      </c>
      <c r="G56" s="516">
        <v>4821</v>
      </c>
      <c r="H56" s="516">
        <v>6716</v>
      </c>
      <c r="I56" s="516">
        <v>32288</v>
      </c>
      <c r="J56" s="516">
        <v>59570</v>
      </c>
      <c r="K56" s="517">
        <v>-24024</v>
      </c>
      <c r="L56" s="516">
        <v>-18787</v>
      </c>
      <c r="M56" s="519">
        <v>8032</v>
      </c>
      <c r="N56" s="516">
        <v>17816</v>
      </c>
      <c r="O56" s="517">
        <v>3828</v>
      </c>
      <c r="P56" s="888">
        <v>2398</v>
      </c>
      <c r="Q56" s="895">
        <v>231</v>
      </c>
      <c r="R56" s="890">
        <v>433</v>
      </c>
      <c r="S56" s="517">
        <v>2331</v>
      </c>
      <c r="T56" s="516"/>
      <c r="U56" s="517"/>
      <c r="V56" s="516">
        <v>2438</v>
      </c>
      <c r="W56" s="517">
        <v>40731</v>
      </c>
      <c r="X56" s="516">
        <v>80084</v>
      </c>
      <c r="Y56" s="517">
        <v>104628</v>
      </c>
      <c r="Z56" s="516">
        <v>144283</v>
      </c>
      <c r="AA56" s="532"/>
      <c r="AB56" s="516"/>
      <c r="AC56" s="517">
        <v>27045</v>
      </c>
      <c r="AD56" s="516">
        <v>13674</v>
      </c>
      <c r="AE56" s="517">
        <v>12418</v>
      </c>
      <c r="AF56" s="516">
        <v>72788</v>
      </c>
      <c r="AG56" s="517">
        <v>40096</v>
      </c>
      <c r="AH56" s="516">
        <v>69190</v>
      </c>
      <c r="AI56" s="517">
        <v>22894</v>
      </c>
      <c r="AJ56" s="516">
        <v>9152</v>
      </c>
      <c r="AK56" s="517">
        <v>4747</v>
      </c>
      <c r="AL56" s="516">
        <v>2142</v>
      </c>
      <c r="AM56" s="516"/>
      <c r="AN56" s="516"/>
      <c r="AO56" s="657">
        <v>60539</v>
      </c>
      <c r="AP56" s="516">
        <v>103692</v>
      </c>
      <c r="AQ56" s="516">
        <v>286</v>
      </c>
      <c r="AR56" s="517"/>
      <c r="AS56" s="516">
        <v>17673</v>
      </c>
      <c r="AT56" s="521"/>
      <c r="AU56" s="516">
        <v>23043</v>
      </c>
      <c r="AV56" s="517">
        <v>89290</v>
      </c>
      <c r="AW56" s="516">
        <v>159401</v>
      </c>
      <c r="AX56" s="872">
        <v>3157300</v>
      </c>
    </row>
    <row r="57" spans="1:50" ht="17.25" x14ac:dyDescent="0.35">
      <c r="A57" s="246" t="s">
        <v>180</v>
      </c>
      <c r="B57" s="296"/>
      <c r="C57" s="286">
        <f>857+22</f>
        <v>879</v>
      </c>
      <c r="D57" s="289">
        <f>473+13</f>
        <v>486</v>
      </c>
      <c r="E57" s="286">
        <v>12</v>
      </c>
      <c r="F57" s="289">
        <v>3</v>
      </c>
      <c r="G57" s="299">
        <v>223</v>
      </c>
      <c r="H57" s="291">
        <v>112</v>
      </c>
      <c r="I57" s="288">
        <v>14071</v>
      </c>
      <c r="J57" s="291">
        <v>19800</v>
      </c>
      <c r="K57" s="290"/>
      <c r="L57" s="291"/>
      <c r="M57" s="301">
        <v>623</v>
      </c>
      <c r="N57" s="302">
        <v>934</v>
      </c>
      <c r="O57" s="290">
        <v>3</v>
      </c>
      <c r="P57" s="887">
        <v>1</v>
      </c>
      <c r="Q57" s="894">
        <v>2</v>
      </c>
      <c r="R57" s="85">
        <v>30</v>
      </c>
      <c r="S57" s="290"/>
      <c r="T57" s="291"/>
      <c r="U57" s="290">
        <f>73+137</f>
        <v>210</v>
      </c>
      <c r="V57" s="291">
        <f>80+196</f>
        <v>276</v>
      </c>
      <c r="W57" s="290">
        <f>44382+65221</f>
        <v>109603</v>
      </c>
      <c r="X57" s="291">
        <f>80585+51285</f>
        <v>131870</v>
      </c>
      <c r="Y57" s="290"/>
      <c r="Z57" s="291">
        <v>15556</v>
      </c>
      <c r="AA57" s="307">
        <v>71</v>
      </c>
      <c r="AB57" s="307">
        <v>49</v>
      </c>
      <c r="AC57" s="290"/>
      <c r="AD57" s="291"/>
      <c r="AE57" s="290">
        <v>3893</v>
      </c>
      <c r="AF57" s="309">
        <v>4958</v>
      </c>
      <c r="AG57" s="290">
        <v>306</v>
      </c>
      <c r="AH57" s="291">
        <v>213</v>
      </c>
      <c r="AI57" s="290">
        <v>358</v>
      </c>
      <c r="AJ57" s="291">
        <v>223</v>
      </c>
      <c r="AK57" s="290"/>
      <c r="AL57" s="291">
        <v>31</v>
      </c>
      <c r="AM57" s="310"/>
      <c r="AN57" s="310"/>
      <c r="AO57" s="655">
        <v>6713</v>
      </c>
      <c r="AP57" s="655">
        <v>12293</v>
      </c>
      <c r="AQ57" s="290">
        <v>26</v>
      </c>
      <c r="AR57" s="290">
        <v>28</v>
      </c>
      <c r="AS57" s="290">
        <v>2</v>
      </c>
      <c r="AT57" s="308"/>
      <c r="AU57" s="291"/>
      <c r="AV57" s="290"/>
      <c r="AW57" s="299"/>
      <c r="AX57" s="479">
        <v>2731119</v>
      </c>
    </row>
    <row r="58" spans="1:50" x14ac:dyDescent="0.3">
      <c r="A58" s="246" t="s">
        <v>181</v>
      </c>
      <c r="B58" s="296"/>
      <c r="C58" s="286"/>
      <c r="D58" s="288"/>
      <c r="E58" s="286"/>
      <c r="F58" s="288"/>
      <c r="G58" s="298"/>
      <c r="H58" s="290"/>
      <c r="I58" s="288"/>
      <c r="J58" s="290"/>
      <c r="K58" s="290"/>
      <c r="L58" s="290"/>
      <c r="M58" s="301"/>
      <c r="N58" s="301"/>
      <c r="O58" s="290"/>
      <c r="P58" s="885"/>
      <c r="Q58" s="894"/>
      <c r="R58" s="306"/>
      <c r="S58" s="290"/>
      <c r="T58" s="290"/>
      <c r="U58" s="290"/>
      <c r="V58" s="290"/>
      <c r="W58" s="290"/>
      <c r="X58" s="290"/>
      <c r="Y58" s="290"/>
      <c r="Z58" s="290"/>
      <c r="AA58" s="307"/>
      <c r="AB58" s="308"/>
      <c r="AC58" s="290"/>
      <c r="AD58" s="290"/>
      <c r="AE58" s="290"/>
      <c r="AF58" s="290"/>
      <c r="AG58" s="290">
        <v>131891</v>
      </c>
      <c r="AH58" s="290">
        <v>145998</v>
      </c>
      <c r="AI58" s="290"/>
      <c r="AJ58" s="290"/>
      <c r="AK58" s="290"/>
      <c r="AL58" s="290"/>
      <c r="AM58" s="310"/>
      <c r="AN58" s="310"/>
      <c r="AO58" s="655"/>
      <c r="AP58" s="656"/>
      <c r="AQ58" s="290">
        <v>10672</v>
      </c>
      <c r="AR58" s="290"/>
      <c r="AS58" s="308"/>
      <c r="AT58" s="308"/>
      <c r="AU58" s="290"/>
      <c r="AV58" s="290"/>
      <c r="AW58" s="298"/>
      <c r="AX58" s="479"/>
    </row>
    <row r="59" spans="1:50" ht="17.25" thickBot="1" x14ac:dyDescent="0.35">
      <c r="A59" s="417" t="s">
        <v>182</v>
      </c>
      <c r="B59" s="418"/>
      <c r="C59" s="826">
        <v>12822</v>
      </c>
      <c r="D59" s="880">
        <v>19173</v>
      </c>
      <c r="E59" s="826">
        <v>-3274</v>
      </c>
      <c r="F59" s="880">
        <v>4285</v>
      </c>
      <c r="G59" s="420">
        <v>4821</v>
      </c>
      <c r="H59" s="419">
        <v>6716</v>
      </c>
      <c r="I59" s="880">
        <v>32288</v>
      </c>
      <c r="J59" s="419">
        <v>59570</v>
      </c>
      <c r="K59" s="419">
        <v>-24024</v>
      </c>
      <c r="L59" s="419">
        <v>-18787</v>
      </c>
      <c r="M59" s="421">
        <v>8032</v>
      </c>
      <c r="N59" s="421">
        <v>17816</v>
      </c>
      <c r="O59" s="419">
        <v>3828</v>
      </c>
      <c r="P59" s="889">
        <v>2398</v>
      </c>
      <c r="Q59" s="896">
        <v>231</v>
      </c>
      <c r="R59" s="422">
        <v>433</v>
      </c>
      <c r="S59" s="419"/>
      <c r="T59" s="419"/>
      <c r="U59" s="419"/>
      <c r="V59" s="419">
        <v>2438</v>
      </c>
      <c r="W59" s="419">
        <v>40731</v>
      </c>
      <c r="X59" s="419">
        <v>80084</v>
      </c>
      <c r="Y59" s="419"/>
      <c r="Z59" s="419">
        <v>144283</v>
      </c>
      <c r="AA59" s="878">
        <v>8155</v>
      </c>
      <c r="AB59" s="423">
        <v>7756</v>
      </c>
      <c r="AC59" s="419"/>
      <c r="AD59" s="419">
        <v>13674</v>
      </c>
      <c r="AE59" s="419">
        <v>12418</v>
      </c>
      <c r="AF59" s="419">
        <v>-994</v>
      </c>
      <c r="AG59" s="419">
        <v>40096</v>
      </c>
      <c r="AH59" s="419">
        <v>69190</v>
      </c>
      <c r="AI59" s="419">
        <v>22894</v>
      </c>
      <c r="AJ59" s="419">
        <v>9152</v>
      </c>
      <c r="AK59" s="419"/>
      <c r="AL59" s="419">
        <v>4097</v>
      </c>
      <c r="AM59" s="424"/>
      <c r="AN59" s="424"/>
      <c r="AO59" s="660">
        <v>60539</v>
      </c>
      <c r="AP59" s="660">
        <v>91400</v>
      </c>
      <c r="AQ59" s="419">
        <v>286</v>
      </c>
      <c r="AR59" s="419">
        <v>7922</v>
      </c>
      <c r="AS59" s="423">
        <v>-9802</v>
      </c>
      <c r="AT59" s="423"/>
      <c r="AU59" s="419">
        <v>23043</v>
      </c>
      <c r="AV59" s="419">
        <v>89290</v>
      </c>
      <c r="AW59" s="420"/>
      <c r="AX59" s="876">
        <v>3144242</v>
      </c>
    </row>
    <row r="60" spans="1:50" s="523" customFormat="1" ht="18.75" thickBot="1" x14ac:dyDescent="0.4">
      <c r="A60" s="524" t="s">
        <v>183</v>
      </c>
      <c r="B60" s="525"/>
      <c r="C60" s="882">
        <v>13701</v>
      </c>
      <c r="D60" s="881">
        <v>19659</v>
      </c>
      <c r="E60" s="882">
        <v>-3262</v>
      </c>
      <c r="F60" s="881">
        <v>4291</v>
      </c>
      <c r="G60" s="527">
        <v>5044</v>
      </c>
      <c r="H60" s="526">
        <v>6828</v>
      </c>
      <c r="I60" s="881">
        <v>46359</v>
      </c>
      <c r="J60" s="526">
        <v>79370</v>
      </c>
      <c r="K60" s="526">
        <v>-24024</v>
      </c>
      <c r="L60" s="526">
        <v>-18787</v>
      </c>
      <c r="M60" s="528">
        <v>8655</v>
      </c>
      <c r="N60" s="528">
        <v>18749</v>
      </c>
      <c r="O60" s="527">
        <v>3831</v>
      </c>
      <c r="P60" s="526">
        <v>2399</v>
      </c>
      <c r="Q60" s="891">
        <v>233</v>
      </c>
      <c r="R60" s="529">
        <v>463</v>
      </c>
      <c r="S60" s="526"/>
      <c r="T60" s="526"/>
      <c r="U60" s="526">
        <v>210</v>
      </c>
      <c r="V60" s="526">
        <v>2714</v>
      </c>
      <c r="W60" s="526">
        <v>150334</v>
      </c>
      <c r="X60" s="526">
        <v>211954</v>
      </c>
      <c r="Y60" s="527"/>
      <c r="Z60" s="526">
        <v>159839</v>
      </c>
      <c r="AA60" s="879">
        <v>8226</v>
      </c>
      <c r="AB60" s="530">
        <v>7805</v>
      </c>
      <c r="AC60" s="526"/>
      <c r="AD60" s="526">
        <v>13674</v>
      </c>
      <c r="AE60" s="526">
        <v>16311</v>
      </c>
      <c r="AF60" s="526">
        <v>3964</v>
      </c>
      <c r="AG60" s="527">
        <v>172383</v>
      </c>
      <c r="AH60" s="526">
        <v>215401</v>
      </c>
      <c r="AI60" s="526">
        <v>23252</v>
      </c>
      <c r="AJ60" s="526">
        <v>9375</v>
      </c>
      <c r="AK60" s="526"/>
      <c r="AL60" s="526">
        <v>4128</v>
      </c>
      <c r="AM60" s="531"/>
      <c r="AN60" s="531"/>
      <c r="AO60" s="661">
        <v>67253</v>
      </c>
      <c r="AP60" s="661">
        <v>103692</v>
      </c>
      <c r="AQ60" s="527">
        <v>10986</v>
      </c>
      <c r="AR60" s="526">
        <v>7950</v>
      </c>
      <c r="AS60" s="530">
        <v>-9800</v>
      </c>
      <c r="AT60" s="530"/>
      <c r="AU60" s="526">
        <v>23043</v>
      </c>
      <c r="AV60" s="526">
        <v>89290</v>
      </c>
      <c r="AW60" s="527"/>
      <c r="AX60" s="877">
        <v>3417361</v>
      </c>
    </row>
    <row r="61" spans="1:50" x14ac:dyDescent="0.3">
      <c r="AO61" s="287"/>
      <c r="AP61" s="287"/>
    </row>
    <row r="62" spans="1:50" x14ac:dyDescent="0.3">
      <c r="AO62" s="287"/>
      <c r="AP62" s="287"/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BA42"/>
  <sheetViews>
    <sheetView workbookViewId="0">
      <pane xSplit="1" topLeftCell="B1" activePane="topRight" state="frozen"/>
      <selection pane="topRight" activeCell="A22" sqref="A1:XFD1048576"/>
    </sheetView>
  </sheetViews>
  <sheetFormatPr defaultRowHeight="12.75" x14ac:dyDescent="0.25"/>
  <cols>
    <col min="1" max="1" width="38.28515625" style="1110" bestFit="1" customWidth="1"/>
    <col min="2" max="37" width="15.85546875" style="1154" bestFit="1" customWidth="1"/>
    <col min="38" max="39" width="15.85546875" style="1110" bestFit="1" customWidth="1"/>
    <col min="40" max="51" width="15.85546875" style="1154" bestFit="1" customWidth="1"/>
    <col min="52" max="53" width="15.85546875" style="1110" bestFit="1" customWidth="1"/>
    <col min="54" max="16384" width="9.140625" style="1110"/>
  </cols>
  <sheetData>
    <row r="1" spans="1:53" ht="57.75" customHeight="1" thickBot="1" x14ac:dyDescent="0.4">
      <c r="A1" s="1106" t="s">
        <v>384</v>
      </c>
      <c r="B1" s="1037" t="s">
        <v>113</v>
      </c>
      <c r="C1" s="1107"/>
      <c r="D1" s="1039" t="s">
        <v>114</v>
      </c>
      <c r="E1" s="1040"/>
      <c r="F1" s="1039" t="s">
        <v>115</v>
      </c>
      <c r="G1" s="1040"/>
      <c r="H1" s="1039" t="s">
        <v>116</v>
      </c>
      <c r="I1" s="1040"/>
      <c r="J1" s="1039" t="s">
        <v>117</v>
      </c>
      <c r="K1" s="1040"/>
      <c r="L1" s="1039" t="s">
        <v>118</v>
      </c>
      <c r="M1" s="1040"/>
      <c r="N1" s="1039" t="s">
        <v>218</v>
      </c>
      <c r="O1" s="1040"/>
      <c r="P1" s="1039" t="s">
        <v>119</v>
      </c>
      <c r="Q1" s="1040"/>
      <c r="R1" s="1039" t="s">
        <v>120</v>
      </c>
      <c r="S1" s="1040"/>
      <c r="T1" s="1039" t="s">
        <v>121</v>
      </c>
      <c r="U1" s="1040"/>
      <c r="V1" s="1039" t="s">
        <v>122</v>
      </c>
      <c r="W1" s="1040"/>
      <c r="X1" s="1039" t="s">
        <v>123</v>
      </c>
      <c r="Y1" s="1040"/>
      <c r="Z1" s="1039" t="s">
        <v>223</v>
      </c>
      <c r="AA1" s="1040"/>
      <c r="AB1" s="1039" t="s">
        <v>124</v>
      </c>
      <c r="AC1" s="1040"/>
      <c r="AD1" s="1039" t="s">
        <v>125</v>
      </c>
      <c r="AE1" s="1040"/>
      <c r="AF1" s="1039" t="s">
        <v>126</v>
      </c>
      <c r="AG1" s="1040"/>
      <c r="AH1" s="1039" t="s">
        <v>127</v>
      </c>
      <c r="AI1" s="1040"/>
      <c r="AJ1" s="1039" t="s">
        <v>128</v>
      </c>
      <c r="AK1" s="1040"/>
      <c r="AL1" s="1041" t="s">
        <v>129</v>
      </c>
      <c r="AM1" s="1041"/>
      <c r="AN1" s="1039" t="s">
        <v>130</v>
      </c>
      <c r="AO1" s="1040"/>
      <c r="AP1" s="1039" t="s">
        <v>131</v>
      </c>
      <c r="AQ1" s="1040"/>
      <c r="AR1" s="1039" t="s">
        <v>132</v>
      </c>
      <c r="AS1" s="1041"/>
      <c r="AT1" s="1039" t="s">
        <v>133</v>
      </c>
      <c r="AU1" s="1040"/>
      <c r="AV1" s="1108" t="s">
        <v>1</v>
      </c>
      <c r="AW1" s="1109"/>
      <c r="AX1" s="1039" t="s">
        <v>134</v>
      </c>
      <c r="AY1" s="1040"/>
      <c r="AZ1" s="1108" t="s">
        <v>2</v>
      </c>
      <c r="BA1" s="1109"/>
    </row>
    <row r="2" spans="1:53" s="1112" customFormat="1" ht="27.75" customHeight="1" thickBot="1" x14ac:dyDescent="0.3">
      <c r="A2" s="1111" t="s">
        <v>0</v>
      </c>
      <c r="B2" s="1046" t="s">
        <v>332</v>
      </c>
      <c r="C2" s="1046" t="s">
        <v>391</v>
      </c>
      <c r="D2" s="1046" t="s">
        <v>332</v>
      </c>
      <c r="E2" s="1046" t="s">
        <v>391</v>
      </c>
      <c r="F2" s="1046" t="s">
        <v>332</v>
      </c>
      <c r="G2" s="1046" t="s">
        <v>391</v>
      </c>
      <c r="H2" s="1046" t="s">
        <v>332</v>
      </c>
      <c r="I2" s="1046" t="s">
        <v>391</v>
      </c>
      <c r="J2" s="1046" t="s">
        <v>332</v>
      </c>
      <c r="K2" s="1046" t="s">
        <v>391</v>
      </c>
      <c r="L2" s="1046" t="s">
        <v>332</v>
      </c>
      <c r="M2" s="1046" t="s">
        <v>391</v>
      </c>
      <c r="N2" s="1046" t="s">
        <v>332</v>
      </c>
      <c r="O2" s="1046" t="s">
        <v>391</v>
      </c>
      <c r="P2" s="1046" t="s">
        <v>332</v>
      </c>
      <c r="Q2" s="1046" t="s">
        <v>391</v>
      </c>
      <c r="R2" s="1046" t="s">
        <v>332</v>
      </c>
      <c r="S2" s="1046" t="s">
        <v>391</v>
      </c>
      <c r="T2" s="1046" t="s">
        <v>332</v>
      </c>
      <c r="U2" s="1046" t="s">
        <v>391</v>
      </c>
      <c r="V2" s="1046" t="s">
        <v>332</v>
      </c>
      <c r="W2" s="1046" t="s">
        <v>391</v>
      </c>
      <c r="X2" s="1046" t="s">
        <v>332</v>
      </c>
      <c r="Y2" s="1046" t="s">
        <v>391</v>
      </c>
      <c r="Z2" s="1046" t="s">
        <v>332</v>
      </c>
      <c r="AA2" s="1046" t="s">
        <v>391</v>
      </c>
      <c r="AB2" s="1046" t="s">
        <v>332</v>
      </c>
      <c r="AC2" s="1046" t="s">
        <v>391</v>
      </c>
      <c r="AD2" s="1046" t="s">
        <v>332</v>
      </c>
      <c r="AE2" s="1046" t="s">
        <v>391</v>
      </c>
      <c r="AF2" s="1046" t="s">
        <v>332</v>
      </c>
      <c r="AG2" s="1046" t="s">
        <v>391</v>
      </c>
      <c r="AH2" s="1046" t="s">
        <v>332</v>
      </c>
      <c r="AI2" s="1046" t="s">
        <v>391</v>
      </c>
      <c r="AJ2" s="1046" t="s">
        <v>332</v>
      </c>
      <c r="AK2" s="1046" t="s">
        <v>391</v>
      </c>
      <c r="AL2" s="1046" t="s">
        <v>332</v>
      </c>
      <c r="AM2" s="1046" t="s">
        <v>391</v>
      </c>
      <c r="AN2" s="1046" t="s">
        <v>332</v>
      </c>
      <c r="AO2" s="1046" t="s">
        <v>391</v>
      </c>
      <c r="AP2" s="1046" t="s">
        <v>332</v>
      </c>
      <c r="AQ2" s="1046" t="s">
        <v>391</v>
      </c>
      <c r="AR2" s="1046" t="s">
        <v>332</v>
      </c>
      <c r="AS2" s="1046" t="s">
        <v>391</v>
      </c>
      <c r="AT2" s="1046" t="s">
        <v>332</v>
      </c>
      <c r="AU2" s="1046" t="s">
        <v>391</v>
      </c>
      <c r="AV2" s="1046" t="s">
        <v>332</v>
      </c>
      <c r="AW2" s="1046" t="s">
        <v>391</v>
      </c>
      <c r="AX2" s="1046" t="s">
        <v>332</v>
      </c>
      <c r="AY2" s="1046" t="s">
        <v>391</v>
      </c>
      <c r="AZ2" s="1046" t="s">
        <v>332</v>
      </c>
      <c r="BA2" s="1046" t="s">
        <v>391</v>
      </c>
    </row>
    <row r="3" spans="1:53" ht="14.25" x14ac:dyDescent="0.3">
      <c r="A3" s="1113" t="s">
        <v>336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4"/>
      <c r="N3" s="1114"/>
      <c r="O3" s="1114"/>
      <c r="P3" s="1114"/>
      <c r="Q3" s="1114"/>
      <c r="R3" s="1114"/>
      <c r="S3" s="1114"/>
      <c r="T3" s="1114"/>
      <c r="U3" s="1114"/>
      <c r="V3" s="1114"/>
      <c r="W3" s="1114"/>
      <c r="X3" s="1114"/>
      <c r="Y3" s="1114"/>
      <c r="Z3" s="1114"/>
      <c r="AA3" s="1114"/>
      <c r="AB3" s="1114"/>
      <c r="AC3" s="1114"/>
      <c r="AD3" s="1114"/>
      <c r="AE3" s="1114"/>
      <c r="AF3" s="1114"/>
      <c r="AG3" s="1114"/>
      <c r="AH3" s="1114"/>
      <c r="AI3" s="1114"/>
      <c r="AJ3" s="1115"/>
      <c r="AK3" s="1114"/>
      <c r="AL3" s="1116"/>
      <c r="AM3" s="1117"/>
      <c r="AN3" s="1118"/>
      <c r="AO3" s="1119"/>
      <c r="AP3" s="1115"/>
      <c r="AQ3" s="1114"/>
      <c r="AR3" s="1114"/>
      <c r="AS3" s="1120"/>
      <c r="AT3" s="1121"/>
      <c r="AU3" s="1115"/>
      <c r="AV3" s="1122"/>
      <c r="AW3" s="1123"/>
      <c r="AX3" s="1114"/>
      <c r="AY3" s="1114"/>
      <c r="AZ3" s="1124"/>
      <c r="BA3" s="1125"/>
    </row>
    <row r="4" spans="1:53" ht="14.25" x14ac:dyDescent="0.3">
      <c r="A4" s="1126" t="s">
        <v>337</v>
      </c>
      <c r="B4" s="1127"/>
      <c r="C4" s="1127"/>
      <c r="D4" s="1127"/>
      <c r="E4" s="1127"/>
      <c r="F4" s="1127"/>
      <c r="G4" s="1127"/>
      <c r="H4" s="1127"/>
      <c r="I4" s="1127"/>
      <c r="J4" s="1127"/>
      <c r="K4" s="1127"/>
      <c r="L4" s="1127"/>
      <c r="M4" s="1127"/>
      <c r="N4" s="1127"/>
      <c r="O4" s="1127"/>
      <c r="P4" s="1127"/>
      <c r="Q4" s="1127"/>
      <c r="R4" s="1127"/>
      <c r="S4" s="1127"/>
      <c r="T4" s="1127"/>
      <c r="U4" s="1127"/>
      <c r="V4" s="1127"/>
      <c r="W4" s="1127"/>
      <c r="X4" s="1127"/>
      <c r="Y4" s="1127"/>
      <c r="Z4" s="1127"/>
      <c r="AA4" s="1127"/>
      <c r="AB4" s="1127"/>
      <c r="AC4" s="1127"/>
      <c r="AD4" s="1127"/>
      <c r="AE4" s="1127"/>
      <c r="AF4" s="1127"/>
      <c r="AG4" s="1127"/>
      <c r="AH4" s="1127"/>
      <c r="AI4" s="1127"/>
      <c r="AJ4" s="1128"/>
      <c r="AK4" s="1127"/>
      <c r="AL4" s="1129"/>
      <c r="AM4" s="1130"/>
      <c r="AN4" s="1131"/>
      <c r="AO4" s="1132"/>
      <c r="AP4" s="1128"/>
      <c r="AQ4" s="1127"/>
      <c r="AR4" s="1127"/>
      <c r="AS4" s="1133"/>
      <c r="AT4" s="1134"/>
      <c r="AU4" s="1128"/>
      <c r="AV4" s="1135"/>
      <c r="AW4" s="1136"/>
      <c r="AX4" s="1127"/>
      <c r="AY4" s="1127"/>
      <c r="AZ4" s="1137"/>
      <c r="BA4" s="1125"/>
    </row>
    <row r="5" spans="1:53" ht="14.25" x14ac:dyDescent="0.3">
      <c r="A5" s="1138" t="s">
        <v>338</v>
      </c>
      <c r="B5" s="1127"/>
      <c r="C5" s="1127"/>
      <c r="D5" s="1127"/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7"/>
      <c r="Q5" s="1127"/>
      <c r="R5" s="1127"/>
      <c r="S5" s="1127"/>
      <c r="T5" s="1127"/>
      <c r="U5" s="1127"/>
      <c r="V5" s="1127"/>
      <c r="W5" s="1127"/>
      <c r="X5" s="1127"/>
      <c r="Y5" s="1127"/>
      <c r="Z5" s="1127"/>
      <c r="AA5" s="1127"/>
      <c r="AB5" s="1127"/>
      <c r="AC5" s="1127"/>
      <c r="AD5" s="1127"/>
      <c r="AE5" s="1127"/>
      <c r="AF5" s="1127"/>
      <c r="AG5" s="1127"/>
      <c r="AH5" s="1127"/>
      <c r="AI5" s="1127"/>
      <c r="AJ5" s="1128"/>
      <c r="AK5" s="1127"/>
      <c r="AL5" s="1129"/>
      <c r="AM5" s="1130"/>
      <c r="AN5" s="1131"/>
      <c r="AO5" s="1132"/>
      <c r="AP5" s="1128"/>
      <c r="AQ5" s="1127"/>
      <c r="AR5" s="1127"/>
      <c r="AS5" s="1133"/>
      <c r="AT5" s="1134"/>
      <c r="AU5" s="1128"/>
      <c r="AV5" s="1135"/>
      <c r="AW5" s="1136"/>
      <c r="AX5" s="1127"/>
      <c r="AY5" s="1127"/>
      <c r="AZ5" s="1137"/>
      <c r="BA5" s="1125"/>
    </row>
    <row r="6" spans="1:53" ht="14.25" x14ac:dyDescent="0.3">
      <c r="A6" s="1138" t="s">
        <v>339</v>
      </c>
      <c r="B6" s="1127"/>
      <c r="C6" s="1127"/>
      <c r="D6" s="1127"/>
      <c r="E6" s="1127"/>
      <c r="F6" s="1127"/>
      <c r="G6" s="1127"/>
      <c r="H6" s="1127"/>
      <c r="I6" s="1127"/>
      <c r="J6" s="1127"/>
      <c r="K6" s="1127"/>
      <c r="L6" s="1127"/>
      <c r="M6" s="1127"/>
      <c r="N6" s="1127"/>
      <c r="O6" s="1127"/>
      <c r="P6" s="1127"/>
      <c r="Q6" s="1127"/>
      <c r="R6" s="1127"/>
      <c r="S6" s="1127"/>
      <c r="T6" s="1127"/>
      <c r="U6" s="1127"/>
      <c r="V6" s="1127"/>
      <c r="W6" s="1127"/>
      <c r="X6" s="1127"/>
      <c r="Y6" s="1127"/>
      <c r="Z6" s="1127"/>
      <c r="AA6" s="1127"/>
      <c r="AB6" s="1127"/>
      <c r="AC6" s="1127"/>
      <c r="AD6" s="1127"/>
      <c r="AE6" s="1127"/>
      <c r="AF6" s="1127"/>
      <c r="AG6" s="1127"/>
      <c r="AH6" s="1127"/>
      <c r="AI6" s="1127"/>
      <c r="AJ6" s="1128"/>
      <c r="AK6" s="1127"/>
      <c r="AL6" s="1129"/>
      <c r="AM6" s="1130"/>
      <c r="AN6" s="1131"/>
      <c r="AO6" s="1132"/>
      <c r="AP6" s="1128"/>
      <c r="AQ6" s="1127"/>
      <c r="AR6" s="1127"/>
      <c r="AS6" s="1133"/>
      <c r="AT6" s="1134"/>
      <c r="AU6" s="1128"/>
      <c r="AV6" s="1135">
        <f>SUM(B6+D6+F6+H6+J6+L6+N6+P6+R6+T6+V6+X6+Z6+AB6+AD6+AF6+AH6+AJ6+AL6+AN6+AP6+AR6+AT6)</f>
        <v>0</v>
      </c>
      <c r="AW6" s="1136">
        <f>SUM(C6+E6+G6+I6+K6+M6+O6+Q6+S6+U6+W6+Y6+AA6+AC6+AE6+AG6+AI6+AK6+AM6+AO6+AQ6+AS6+AU6)</f>
        <v>0</v>
      </c>
      <c r="AX6" s="1127">
        <v>1155500.04</v>
      </c>
      <c r="AY6" s="1127">
        <v>1044596</v>
      </c>
      <c r="AZ6" s="1135">
        <f>AV6+AX6</f>
        <v>1155500.04</v>
      </c>
      <c r="BA6" s="1139">
        <f>AW6+AY6</f>
        <v>1044596</v>
      </c>
    </row>
    <row r="7" spans="1:53" ht="14.25" x14ac:dyDescent="0.3">
      <c r="A7" s="1138" t="s">
        <v>340</v>
      </c>
      <c r="B7" s="1127"/>
      <c r="C7" s="1127"/>
      <c r="D7" s="1127"/>
      <c r="E7" s="1127"/>
      <c r="F7" s="1127"/>
      <c r="G7" s="1127"/>
      <c r="H7" s="1127"/>
      <c r="I7" s="1127"/>
      <c r="J7" s="1127"/>
      <c r="K7" s="1127"/>
      <c r="L7" s="1127"/>
      <c r="M7" s="1127"/>
      <c r="N7" s="1127"/>
      <c r="O7" s="1127"/>
      <c r="P7" s="1127"/>
      <c r="Q7" s="1127"/>
      <c r="R7" s="1127"/>
      <c r="S7" s="1127"/>
      <c r="T7" s="1127"/>
      <c r="U7" s="1127"/>
      <c r="V7" s="1127"/>
      <c r="W7" s="1127"/>
      <c r="X7" s="1127"/>
      <c r="Y7" s="1127"/>
      <c r="Z7" s="1127"/>
      <c r="AA7" s="1127"/>
      <c r="AB7" s="1127"/>
      <c r="AC7" s="1127"/>
      <c r="AD7" s="1127"/>
      <c r="AE7" s="1127"/>
      <c r="AF7" s="1127"/>
      <c r="AG7" s="1127"/>
      <c r="AH7" s="1127"/>
      <c r="AI7" s="1127"/>
      <c r="AJ7" s="1128"/>
      <c r="AK7" s="1127"/>
      <c r="AL7" s="1129"/>
      <c r="AM7" s="1130"/>
      <c r="AN7" s="1131"/>
      <c r="AO7" s="1132"/>
      <c r="AP7" s="1128"/>
      <c r="AQ7" s="1127"/>
      <c r="AR7" s="1127"/>
      <c r="AS7" s="1133"/>
      <c r="AT7" s="1134"/>
      <c r="AU7" s="1128"/>
      <c r="AV7" s="1135">
        <f t="shared" ref="AV7:AV42" si="0">SUM(B7+D7+F7+H7+J7+L7+N7+P7+R7+T7+V7+X7+Z7+AB7+AD7+AF7+AH7+AJ7+AL7+AN7+AP7+AR7+AT7)</f>
        <v>0</v>
      </c>
      <c r="AW7" s="1136">
        <f t="shared" ref="AW7:AW42" si="1">SUM(C7+E7+G7+I7+K7+M7+O7+Q7+S7+U7+W7+Y7+AA7+AC7+AE7+AG7+AI7+AK7+AM7+AO7+AQ7+AS7+AU7)</f>
        <v>0</v>
      </c>
      <c r="AX7" s="1127">
        <v>1119</v>
      </c>
      <c r="AY7" s="1127">
        <v>1146</v>
      </c>
      <c r="AZ7" s="1135">
        <f t="shared" ref="AZ7:AZ20" si="2">AV7+AX7</f>
        <v>1119</v>
      </c>
      <c r="BA7" s="1139">
        <f t="shared" ref="BA7:BA41" si="3">AW7+AY7</f>
        <v>1146</v>
      </c>
    </row>
    <row r="8" spans="1:53" ht="14.25" x14ac:dyDescent="0.3">
      <c r="A8" s="1138" t="s">
        <v>341</v>
      </c>
      <c r="B8" s="1127"/>
      <c r="C8" s="1127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7"/>
      <c r="AA8" s="1127"/>
      <c r="AB8" s="1127"/>
      <c r="AC8" s="1127"/>
      <c r="AD8" s="1127"/>
      <c r="AE8" s="1127"/>
      <c r="AF8" s="1127"/>
      <c r="AG8" s="1127"/>
      <c r="AH8" s="1127"/>
      <c r="AI8" s="1127"/>
      <c r="AJ8" s="1128"/>
      <c r="AK8" s="1127"/>
      <c r="AL8" s="1129"/>
      <c r="AM8" s="1130"/>
      <c r="AN8" s="1131"/>
      <c r="AO8" s="1132"/>
      <c r="AP8" s="1128"/>
      <c r="AQ8" s="1127"/>
      <c r="AR8" s="1127"/>
      <c r="AS8" s="1133"/>
      <c r="AT8" s="1134"/>
      <c r="AU8" s="1128"/>
      <c r="AV8" s="1135">
        <f t="shared" si="0"/>
        <v>0</v>
      </c>
      <c r="AW8" s="1136">
        <f t="shared" si="1"/>
        <v>0</v>
      </c>
      <c r="AX8" s="1127"/>
      <c r="AY8" s="1127"/>
      <c r="AZ8" s="1135">
        <f t="shared" si="2"/>
        <v>0</v>
      </c>
      <c r="BA8" s="1139">
        <f t="shared" si="3"/>
        <v>0</v>
      </c>
    </row>
    <row r="9" spans="1:53" ht="14.25" x14ac:dyDescent="0.3">
      <c r="A9" s="1138" t="s">
        <v>342</v>
      </c>
      <c r="B9" s="1127">
        <v>27180</v>
      </c>
      <c r="C9" s="1127">
        <f>37521</f>
        <v>37521</v>
      </c>
      <c r="D9" s="1127">
        <v>262</v>
      </c>
      <c r="E9" s="1127">
        <v>287</v>
      </c>
      <c r="F9" s="1127"/>
      <c r="G9" s="1127"/>
      <c r="H9" s="1127">
        <v>51224</v>
      </c>
      <c r="I9" s="1127">
        <v>57927</v>
      </c>
      <c r="J9" s="1127">
        <v>2959</v>
      </c>
      <c r="K9" s="1127">
        <v>3683</v>
      </c>
      <c r="L9" s="1127">
        <v>661</v>
      </c>
      <c r="M9" s="1127">
        <v>1715</v>
      </c>
      <c r="N9" s="1127">
        <v>8416</v>
      </c>
      <c r="O9" s="1127">
        <v>11227</v>
      </c>
      <c r="P9" s="1127">
        <v>1735</v>
      </c>
      <c r="Q9" s="1127">
        <v>2844</v>
      </c>
      <c r="R9" s="1127">
        <v>60505</v>
      </c>
      <c r="S9" s="1127"/>
      <c r="T9" s="1127">
        <v>3408</v>
      </c>
      <c r="U9" s="1127">
        <v>6947</v>
      </c>
      <c r="V9" s="1127">
        <v>59277</v>
      </c>
      <c r="W9" s="1127">
        <v>150933</v>
      </c>
      <c r="X9" s="1127">
        <v>86008</v>
      </c>
      <c r="Y9" s="1127">
        <v>119302</v>
      </c>
      <c r="Z9" s="1127">
        <v>1254</v>
      </c>
      <c r="AA9" s="1127">
        <v>1846</v>
      </c>
      <c r="AB9" s="1127">
        <v>2028</v>
      </c>
      <c r="AC9" s="1127">
        <v>3216</v>
      </c>
      <c r="AD9" s="1127">
        <v>7385</v>
      </c>
      <c r="AE9" s="1127">
        <v>9582</v>
      </c>
      <c r="AF9" s="1127">
        <v>62989</v>
      </c>
      <c r="AG9" s="1127">
        <v>76932</v>
      </c>
      <c r="AH9" s="1127">
        <v>14149</v>
      </c>
      <c r="AI9" s="1127">
        <v>21692</v>
      </c>
      <c r="AJ9" s="1128">
        <v>7530</v>
      </c>
      <c r="AK9" s="1127">
        <v>10330</v>
      </c>
      <c r="AL9" s="1129"/>
      <c r="AM9" s="1130"/>
      <c r="AN9" s="1131">
        <v>15127</v>
      </c>
      <c r="AO9" s="1132">
        <v>23082</v>
      </c>
      <c r="AP9" s="1128">
        <v>8184</v>
      </c>
      <c r="AQ9" s="1127">
        <v>11758</v>
      </c>
      <c r="AR9" s="1127">
        <v>1678</v>
      </c>
      <c r="AS9" s="1133"/>
      <c r="AT9" s="1134">
        <v>50331</v>
      </c>
      <c r="AU9" s="1128">
        <v>52370</v>
      </c>
      <c r="AV9" s="1135">
        <f t="shared" si="0"/>
        <v>472290</v>
      </c>
      <c r="AW9" s="1136">
        <f t="shared" si="1"/>
        <v>603194</v>
      </c>
      <c r="AX9" s="1127">
        <v>10426426.560000001</v>
      </c>
      <c r="AY9" s="1127">
        <v>10990981</v>
      </c>
      <c r="AZ9" s="1135">
        <f t="shared" si="2"/>
        <v>10898716.560000001</v>
      </c>
      <c r="BA9" s="1139">
        <f t="shared" si="3"/>
        <v>11594175</v>
      </c>
    </row>
    <row r="10" spans="1:53" ht="14.25" x14ac:dyDescent="0.3">
      <c r="A10" s="1138" t="s">
        <v>343</v>
      </c>
      <c r="B10" s="1127"/>
      <c r="C10" s="1127"/>
      <c r="D10" s="1140"/>
      <c r="E10" s="1140"/>
      <c r="F10" s="1127"/>
      <c r="G10" s="1127"/>
      <c r="H10" s="1127"/>
      <c r="I10" s="1127"/>
      <c r="J10" s="1127"/>
      <c r="K10" s="1127"/>
      <c r="L10" s="1127"/>
      <c r="M10" s="1127"/>
      <c r="N10" s="1127"/>
      <c r="O10" s="1127"/>
      <c r="P10" s="1127">
        <f>48-13</f>
        <v>35</v>
      </c>
      <c r="Q10" s="1127"/>
      <c r="R10" s="1127"/>
      <c r="S10" s="1127"/>
      <c r="T10" s="1127"/>
      <c r="U10" s="1127"/>
      <c r="V10" s="1127"/>
      <c r="W10" s="1127"/>
      <c r="X10" s="1127"/>
      <c r="Y10" s="1127"/>
      <c r="Z10" s="1127"/>
      <c r="AA10" s="1127"/>
      <c r="AB10" s="1127"/>
      <c r="AC10" s="1127"/>
      <c r="AD10" s="1127"/>
      <c r="AE10" s="1127"/>
      <c r="AF10" s="1127"/>
      <c r="AG10" s="1127">
        <v>12190</v>
      </c>
      <c r="AH10" s="1127"/>
      <c r="AI10" s="1127"/>
      <c r="AJ10" s="1128"/>
      <c r="AK10" s="1127"/>
      <c r="AL10" s="1129"/>
      <c r="AM10" s="1130"/>
      <c r="AN10" s="1131">
        <v>20252</v>
      </c>
      <c r="AO10" s="1132">
        <v>14567</v>
      </c>
      <c r="AP10" s="1128"/>
      <c r="AQ10" s="1127"/>
      <c r="AR10" s="1127"/>
      <c r="AS10" s="1133"/>
      <c r="AT10" s="1134"/>
      <c r="AU10" s="1128"/>
      <c r="AV10" s="1135">
        <f t="shared" si="0"/>
        <v>20287</v>
      </c>
      <c r="AW10" s="1136">
        <f t="shared" si="1"/>
        <v>26757</v>
      </c>
      <c r="AX10" s="1127">
        <f>0.02+307804.51+88530.04</f>
        <v>396334.57</v>
      </c>
      <c r="AY10" s="1127">
        <f>211239+84091</f>
        <v>295330</v>
      </c>
      <c r="AZ10" s="1135">
        <f t="shared" si="2"/>
        <v>416621.57</v>
      </c>
      <c r="BA10" s="1139">
        <f t="shared" si="3"/>
        <v>322087</v>
      </c>
    </row>
    <row r="11" spans="1:53" ht="14.25" x14ac:dyDescent="0.3">
      <c r="A11" s="1126" t="s">
        <v>344</v>
      </c>
      <c r="B11" s="1127"/>
      <c r="C11" s="1127"/>
      <c r="D11" s="1127">
        <v>6941</v>
      </c>
      <c r="E11" s="1127">
        <v>7252</v>
      </c>
      <c r="F11" s="1127"/>
      <c r="G11" s="1127"/>
      <c r="H11" s="1127"/>
      <c r="I11" s="1127"/>
      <c r="J11" s="1127"/>
      <c r="K11" s="1127"/>
      <c r="L11" s="1127"/>
      <c r="M11" s="1127"/>
      <c r="N11" s="1127"/>
      <c r="O11" s="1127"/>
      <c r="P11" s="1127"/>
      <c r="Q11" s="1127"/>
      <c r="R11" s="1127">
        <v>34</v>
      </c>
      <c r="S11" s="1127"/>
      <c r="T11" s="1127">
        <v>1</v>
      </c>
      <c r="U11" s="1127">
        <v>10</v>
      </c>
      <c r="V11" s="1127"/>
      <c r="W11" s="1127"/>
      <c r="X11" s="1127"/>
      <c r="Y11" s="1127"/>
      <c r="Z11" s="1127"/>
      <c r="AA11" s="1127"/>
      <c r="AB11" s="1127"/>
      <c r="AC11" s="1127"/>
      <c r="AD11" s="1127"/>
      <c r="AE11" s="1127"/>
      <c r="AF11" s="1127"/>
      <c r="AG11" s="1127"/>
      <c r="AH11" s="1127"/>
      <c r="AI11" s="1127"/>
      <c r="AJ11" s="1128"/>
      <c r="AK11" s="1127"/>
      <c r="AL11" s="1129"/>
      <c r="AM11" s="1130"/>
      <c r="AN11" s="1131"/>
      <c r="AO11" s="1132"/>
      <c r="AP11" s="1128"/>
      <c r="AQ11" s="1127"/>
      <c r="AR11" s="1127"/>
      <c r="AS11" s="1133"/>
      <c r="AT11" s="1134"/>
      <c r="AU11" s="1128"/>
      <c r="AV11" s="1135">
        <f t="shared" si="0"/>
        <v>6976</v>
      </c>
      <c r="AW11" s="1136">
        <f t="shared" si="1"/>
        <v>7262</v>
      </c>
      <c r="AX11" s="1127">
        <v>258558.88</v>
      </c>
      <c r="AY11" s="1127">
        <v>100031</v>
      </c>
      <c r="AZ11" s="1135">
        <f t="shared" si="2"/>
        <v>265534.88</v>
      </c>
      <c r="BA11" s="1139">
        <f t="shared" si="3"/>
        <v>107293</v>
      </c>
    </row>
    <row r="12" spans="1:53" ht="14.25" x14ac:dyDescent="0.3">
      <c r="A12" s="1126" t="s">
        <v>345</v>
      </c>
      <c r="B12" s="1127"/>
      <c r="C12" s="1127"/>
      <c r="D12" s="1127"/>
      <c r="E12" s="1127"/>
      <c r="F12" s="1127"/>
      <c r="G12" s="1127"/>
      <c r="H12" s="1127"/>
      <c r="I12" s="1127"/>
      <c r="J12" s="1127"/>
      <c r="K12" s="1127"/>
      <c r="L12" s="1127"/>
      <c r="M12" s="1127"/>
      <c r="N12" s="1127"/>
      <c r="O12" s="1127"/>
      <c r="P12" s="1127"/>
      <c r="Q12" s="1127">
        <v>89</v>
      </c>
      <c r="R12" s="1127"/>
      <c r="S12" s="1127"/>
      <c r="T12" s="1127"/>
      <c r="U12" s="1127"/>
      <c r="V12" s="1127"/>
      <c r="W12" s="1127"/>
      <c r="X12" s="1127"/>
      <c r="Y12" s="1127"/>
      <c r="Z12" s="1127"/>
      <c r="AA12" s="1127"/>
      <c r="AB12" s="1127"/>
      <c r="AC12" s="1127"/>
      <c r="AD12" s="1127"/>
      <c r="AE12" s="1127"/>
      <c r="AF12" s="1127"/>
      <c r="AG12" s="1127"/>
      <c r="AH12" s="1127"/>
      <c r="AI12" s="1127"/>
      <c r="AJ12" s="1128"/>
      <c r="AK12" s="1127"/>
      <c r="AL12" s="1129"/>
      <c r="AM12" s="1130"/>
      <c r="AN12" s="1131"/>
      <c r="AO12" s="1132"/>
      <c r="AP12" s="1128"/>
      <c r="AQ12" s="1127"/>
      <c r="AR12" s="1127"/>
      <c r="AS12" s="1133"/>
      <c r="AT12" s="1134"/>
      <c r="AU12" s="1128"/>
      <c r="AV12" s="1135">
        <f t="shared" si="0"/>
        <v>0</v>
      </c>
      <c r="AW12" s="1136">
        <f t="shared" si="1"/>
        <v>89</v>
      </c>
      <c r="AX12" s="1127">
        <v>-1230947.1100000001</v>
      </c>
      <c r="AY12" s="1127">
        <v>-1034551</v>
      </c>
      <c r="AZ12" s="1135">
        <f t="shared" si="2"/>
        <v>-1230947.1100000001</v>
      </c>
      <c r="BA12" s="1139">
        <f t="shared" si="3"/>
        <v>-1034462</v>
      </c>
    </row>
    <row r="13" spans="1:53" ht="14.25" x14ac:dyDescent="0.3">
      <c r="A13" s="1141" t="s">
        <v>54</v>
      </c>
      <c r="B13" s="1127">
        <f>B9</f>
        <v>27180</v>
      </c>
      <c r="C13" s="1127">
        <f>C9</f>
        <v>37521</v>
      </c>
      <c r="D13" s="1140">
        <f>D9+D11</f>
        <v>7203</v>
      </c>
      <c r="E13" s="1140">
        <v>7539</v>
      </c>
      <c r="F13" s="1127"/>
      <c r="G13" s="1127"/>
      <c r="H13" s="1127">
        <f>H9</f>
        <v>51224</v>
      </c>
      <c r="I13" s="1127">
        <f>I9</f>
        <v>57927</v>
      </c>
      <c r="J13" s="1127">
        <f>J9</f>
        <v>2959</v>
      </c>
      <c r="K13" s="1127">
        <v>3683</v>
      </c>
      <c r="L13" s="1127">
        <f t="shared" ref="L13:AD13" si="4">SUM(L5:L11)</f>
        <v>661</v>
      </c>
      <c r="M13" s="1127">
        <f>M9</f>
        <v>1715</v>
      </c>
      <c r="N13" s="1127">
        <f t="shared" si="4"/>
        <v>8416</v>
      </c>
      <c r="O13" s="1127">
        <f>O9</f>
        <v>11227</v>
      </c>
      <c r="P13" s="1127">
        <v>1771</v>
      </c>
      <c r="Q13" s="1127">
        <v>2933</v>
      </c>
      <c r="R13" s="1127">
        <f t="shared" si="4"/>
        <v>60539</v>
      </c>
      <c r="S13" s="1127"/>
      <c r="T13" s="1127">
        <f t="shared" si="4"/>
        <v>3409</v>
      </c>
      <c r="U13" s="1127">
        <v>6957</v>
      </c>
      <c r="V13" s="1127">
        <f t="shared" si="4"/>
        <v>59277</v>
      </c>
      <c r="W13" s="1127">
        <f>W9</f>
        <v>150933</v>
      </c>
      <c r="X13" s="1127">
        <f t="shared" si="4"/>
        <v>86008</v>
      </c>
      <c r="Y13" s="1127">
        <f>Y9</f>
        <v>119302</v>
      </c>
      <c r="Z13" s="1127">
        <f t="shared" si="4"/>
        <v>1254</v>
      </c>
      <c r="AA13" s="1127">
        <f>AA9</f>
        <v>1846</v>
      </c>
      <c r="AB13" s="1127">
        <f t="shared" si="4"/>
        <v>2028</v>
      </c>
      <c r="AC13" s="1127">
        <f>AC9</f>
        <v>3216</v>
      </c>
      <c r="AD13" s="1127">
        <f t="shared" si="4"/>
        <v>7385</v>
      </c>
      <c r="AE13" s="1127">
        <f>AE9</f>
        <v>9582</v>
      </c>
      <c r="AF13" s="1127">
        <f>AF9</f>
        <v>62989</v>
      </c>
      <c r="AG13" s="1127">
        <f>AG9+AG10</f>
        <v>89122</v>
      </c>
      <c r="AH13" s="1127">
        <f>AH9</f>
        <v>14149</v>
      </c>
      <c r="AI13" s="1127">
        <f>AI9</f>
        <v>21692</v>
      </c>
      <c r="AJ13" s="1128">
        <f>SUM(AJ5:AJ11)</f>
        <v>7530</v>
      </c>
      <c r="AK13" s="1127">
        <f>AK9</f>
        <v>10330</v>
      </c>
      <c r="AL13" s="1129"/>
      <c r="AM13" s="1130"/>
      <c r="AN13" s="1131">
        <f>SUM(AN5:AN11)</f>
        <v>35379</v>
      </c>
      <c r="AO13" s="1132">
        <f>SUM(AO5:AO11)</f>
        <v>37649</v>
      </c>
      <c r="AP13" s="1128">
        <f>SUM(AP5:AP11)</f>
        <v>8184</v>
      </c>
      <c r="AQ13" s="1127">
        <f>AQ9</f>
        <v>11758</v>
      </c>
      <c r="AR13" s="1127">
        <f>SUM(AR5:AR11)</f>
        <v>1678</v>
      </c>
      <c r="AS13" s="1133"/>
      <c r="AT13" s="1134">
        <f>AT9</f>
        <v>50331</v>
      </c>
      <c r="AU13" s="1128">
        <f>AU9</f>
        <v>52370</v>
      </c>
      <c r="AV13" s="1135">
        <f t="shared" si="0"/>
        <v>499554</v>
      </c>
      <c r="AW13" s="1136">
        <f t="shared" si="1"/>
        <v>637302</v>
      </c>
      <c r="AX13" s="1127">
        <v>11006991.939999999</v>
      </c>
      <c r="AY13" s="1127">
        <v>11397534.640000001</v>
      </c>
      <c r="AZ13" s="1135">
        <f t="shared" si="2"/>
        <v>11506545.939999999</v>
      </c>
      <c r="BA13" s="1139">
        <f t="shared" si="3"/>
        <v>12034836.640000001</v>
      </c>
    </row>
    <row r="14" spans="1:53" ht="14.25" x14ac:dyDescent="0.3">
      <c r="A14" s="1141" t="s">
        <v>346</v>
      </c>
      <c r="B14" s="1127"/>
      <c r="C14" s="1127"/>
      <c r="D14" s="1127"/>
      <c r="E14" s="1127"/>
      <c r="F14" s="1127"/>
      <c r="G14" s="1127"/>
      <c r="H14" s="1127"/>
      <c r="I14" s="1127"/>
      <c r="J14" s="1127"/>
      <c r="K14" s="1127"/>
      <c r="L14" s="1127"/>
      <c r="M14" s="1127"/>
      <c r="N14" s="1127"/>
      <c r="O14" s="1127"/>
      <c r="P14" s="1127"/>
      <c r="Q14" s="1127"/>
      <c r="R14" s="1127"/>
      <c r="S14" s="1127"/>
      <c r="T14" s="1127"/>
      <c r="U14" s="1127"/>
      <c r="V14" s="1127"/>
      <c r="W14" s="1127"/>
      <c r="X14" s="1127"/>
      <c r="Y14" s="1127"/>
      <c r="Z14" s="1127"/>
      <c r="AA14" s="1127"/>
      <c r="AB14" s="1127"/>
      <c r="AC14" s="1127"/>
      <c r="AD14" s="1127"/>
      <c r="AE14" s="1127"/>
      <c r="AF14" s="1127"/>
      <c r="AG14" s="1127"/>
      <c r="AH14" s="1127"/>
      <c r="AI14" s="1127"/>
      <c r="AJ14" s="1128"/>
      <c r="AK14" s="1127"/>
      <c r="AL14" s="1129"/>
      <c r="AM14" s="1130"/>
      <c r="AN14" s="1131"/>
      <c r="AO14" s="1132"/>
      <c r="AP14" s="1128"/>
      <c r="AQ14" s="1127"/>
      <c r="AR14" s="1127"/>
      <c r="AS14" s="1133"/>
      <c r="AT14" s="1134"/>
      <c r="AU14" s="1128"/>
      <c r="AV14" s="1135">
        <f t="shared" si="0"/>
        <v>0</v>
      </c>
      <c r="AW14" s="1136">
        <f t="shared" si="1"/>
        <v>0</v>
      </c>
      <c r="AX14" s="1127"/>
      <c r="AY14" s="1127"/>
      <c r="AZ14" s="1135">
        <f t="shared" si="2"/>
        <v>0</v>
      </c>
      <c r="BA14" s="1139">
        <f t="shared" si="3"/>
        <v>0</v>
      </c>
    </row>
    <row r="15" spans="1:53" ht="14.25" x14ac:dyDescent="0.3">
      <c r="A15" s="1138" t="s">
        <v>347</v>
      </c>
      <c r="B15" s="1127"/>
      <c r="C15" s="1127"/>
      <c r="D15" s="1127"/>
      <c r="E15" s="1127"/>
      <c r="F15" s="1127"/>
      <c r="G15" s="1127"/>
      <c r="H15" s="1127"/>
      <c r="I15" s="1127"/>
      <c r="J15" s="1127"/>
      <c r="K15" s="1127"/>
      <c r="L15" s="1127"/>
      <c r="M15" s="1127"/>
      <c r="N15" s="1127"/>
      <c r="O15" s="1127"/>
      <c r="P15" s="1127"/>
      <c r="Q15" s="1127"/>
      <c r="R15" s="1127"/>
      <c r="S15" s="1127"/>
      <c r="T15" s="1127"/>
      <c r="U15" s="1127"/>
      <c r="V15" s="1127"/>
      <c r="W15" s="1127"/>
      <c r="X15" s="1127"/>
      <c r="Y15" s="1127"/>
      <c r="Z15" s="1127"/>
      <c r="AA15" s="1127"/>
      <c r="AB15" s="1127"/>
      <c r="AC15" s="1127"/>
      <c r="AD15" s="1127"/>
      <c r="AE15" s="1127"/>
      <c r="AF15" s="1127"/>
      <c r="AG15" s="1127"/>
      <c r="AH15" s="1127"/>
      <c r="AI15" s="1127"/>
      <c r="AJ15" s="1128"/>
      <c r="AK15" s="1127"/>
      <c r="AL15" s="1129"/>
      <c r="AM15" s="1130"/>
      <c r="AN15" s="1131"/>
      <c r="AO15" s="1132"/>
      <c r="AP15" s="1128"/>
      <c r="AQ15" s="1127"/>
      <c r="AR15" s="1127"/>
      <c r="AS15" s="1133"/>
      <c r="AT15" s="1134"/>
      <c r="AU15" s="1128"/>
      <c r="AV15" s="1135">
        <f t="shared" si="0"/>
        <v>0</v>
      </c>
      <c r="AW15" s="1136">
        <f t="shared" si="1"/>
        <v>0</v>
      </c>
      <c r="AX15" s="1127">
        <v>192831.21</v>
      </c>
      <c r="AY15" s="1127">
        <v>165406.16</v>
      </c>
      <c r="AZ15" s="1135">
        <f t="shared" si="2"/>
        <v>192831.21</v>
      </c>
      <c r="BA15" s="1139">
        <f t="shared" si="3"/>
        <v>165406.16</v>
      </c>
    </row>
    <row r="16" spans="1:53" ht="14.25" x14ac:dyDescent="0.3">
      <c r="A16" s="1138" t="s">
        <v>348</v>
      </c>
      <c r="B16" s="1127"/>
      <c r="C16" s="1127"/>
      <c r="D16" s="1140"/>
      <c r="E16" s="1140"/>
      <c r="F16" s="1127"/>
      <c r="G16" s="1127"/>
      <c r="H16" s="1127"/>
      <c r="I16" s="1127"/>
      <c r="J16" s="1127"/>
      <c r="K16" s="1127"/>
      <c r="L16" s="1127"/>
      <c r="M16" s="1127"/>
      <c r="N16" s="1127"/>
      <c r="O16" s="1127"/>
      <c r="P16" s="1127"/>
      <c r="Q16" s="1127"/>
      <c r="R16" s="1127"/>
      <c r="S16" s="1127"/>
      <c r="T16" s="1127"/>
      <c r="U16" s="1127"/>
      <c r="V16" s="1127"/>
      <c r="W16" s="1127"/>
      <c r="X16" s="1127"/>
      <c r="Y16" s="1127"/>
      <c r="Z16" s="1127"/>
      <c r="AA16" s="1127"/>
      <c r="AB16" s="1127"/>
      <c r="AC16" s="1127"/>
      <c r="AD16" s="1127"/>
      <c r="AE16" s="1127"/>
      <c r="AF16" s="1127"/>
      <c r="AG16" s="1127"/>
      <c r="AH16" s="1127"/>
      <c r="AI16" s="1127"/>
      <c r="AJ16" s="1128"/>
      <c r="AK16" s="1127"/>
      <c r="AL16" s="1129"/>
      <c r="AM16" s="1130"/>
      <c r="AN16" s="1131">
        <v>20252</v>
      </c>
      <c r="AO16" s="1132">
        <v>14567</v>
      </c>
      <c r="AP16" s="1128"/>
      <c r="AQ16" s="1127"/>
      <c r="AR16" s="1127"/>
      <c r="AS16" s="1133"/>
      <c r="AT16" s="1134"/>
      <c r="AU16" s="1128"/>
      <c r="AV16" s="1135">
        <f t="shared" si="0"/>
        <v>20252</v>
      </c>
      <c r="AW16" s="1136">
        <f t="shared" si="1"/>
        <v>14567</v>
      </c>
      <c r="AX16" s="1127"/>
      <c r="AY16" s="1127"/>
      <c r="AZ16" s="1135">
        <f t="shared" si="2"/>
        <v>20252</v>
      </c>
      <c r="BA16" s="1139">
        <f t="shared" si="3"/>
        <v>14567</v>
      </c>
    </row>
    <row r="17" spans="1:53" ht="14.25" x14ac:dyDescent="0.3">
      <c r="A17" s="1138" t="s">
        <v>349</v>
      </c>
      <c r="B17" s="1127"/>
      <c r="C17" s="1127"/>
      <c r="D17" s="1127"/>
      <c r="E17" s="1127"/>
      <c r="F17" s="1127"/>
      <c r="G17" s="1127"/>
      <c r="H17" s="1127"/>
      <c r="I17" s="1127"/>
      <c r="J17" s="1127"/>
      <c r="K17" s="1127"/>
      <c r="L17" s="1127"/>
      <c r="M17" s="1127"/>
      <c r="N17" s="1127"/>
      <c r="O17" s="1127"/>
      <c r="P17" s="1127"/>
      <c r="Q17" s="1127"/>
      <c r="R17" s="1127"/>
      <c r="S17" s="1127"/>
      <c r="T17" s="1127"/>
      <c r="U17" s="1127"/>
      <c r="V17" s="1127"/>
      <c r="W17" s="1127"/>
      <c r="X17" s="1127"/>
      <c r="Y17" s="1127"/>
      <c r="Z17" s="1127"/>
      <c r="AA17" s="1127"/>
      <c r="AB17" s="1127"/>
      <c r="AC17" s="1127"/>
      <c r="AD17" s="1127"/>
      <c r="AE17" s="1127"/>
      <c r="AF17" s="1127"/>
      <c r="AG17" s="1127"/>
      <c r="AH17" s="1127"/>
      <c r="AI17" s="1127"/>
      <c r="AJ17" s="1128"/>
      <c r="AK17" s="1127"/>
      <c r="AL17" s="1129"/>
      <c r="AM17" s="1130"/>
      <c r="AN17" s="1131"/>
      <c r="AO17" s="1132"/>
      <c r="AP17" s="1128"/>
      <c r="AQ17" s="1127"/>
      <c r="AR17" s="1127"/>
      <c r="AS17" s="1133"/>
      <c r="AT17" s="1134"/>
      <c r="AU17" s="1128"/>
      <c r="AV17" s="1135">
        <f t="shared" si="0"/>
        <v>0</v>
      </c>
      <c r="AW17" s="1136">
        <f t="shared" si="1"/>
        <v>0</v>
      </c>
      <c r="AX17" s="1127"/>
      <c r="AY17" s="1127"/>
      <c r="AZ17" s="1135">
        <f t="shared" si="2"/>
        <v>0</v>
      </c>
      <c r="BA17" s="1139">
        <f t="shared" si="3"/>
        <v>0</v>
      </c>
    </row>
    <row r="18" spans="1:53" ht="14.25" x14ac:dyDescent="0.3">
      <c r="A18" s="1138" t="s">
        <v>350</v>
      </c>
      <c r="B18" s="1127"/>
      <c r="C18" s="1127"/>
      <c r="D18" s="1127"/>
      <c r="E18" s="1127"/>
      <c r="F18" s="1127"/>
      <c r="G18" s="1127"/>
      <c r="H18" s="1127"/>
      <c r="I18" s="1127"/>
      <c r="J18" s="1127"/>
      <c r="K18" s="1127"/>
      <c r="L18" s="1127"/>
      <c r="M18" s="1127"/>
      <c r="N18" s="1127"/>
      <c r="O18" s="1127"/>
      <c r="P18" s="1127"/>
      <c r="Q18" s="1127"/>
      <c r="R18" s="1127"/>
      <c r="S18" s="1127"/>
      <c r="T18" s="1127"/>
      <c r="U18" s="1127"/>
      <c r="V18" s="1127"/>
      <c r="W18" s="1127"/>
      <c r="X18" s="1127"/>
      <c r="Y18" s="1127"/>
      <c r="Z18" s="1127"/>
      <c r="AA18" s="1127"/>
      <c r="AB18" s="1127"/>
      <c r="AC18" s="1127"/>
      <c r="AD18" s="1127"/>
      <c r="AE18" s="1127"/>
      <c r="AF18" s="1127"/>
      <c r="AG18" s="1127"/>
      <c r="AH18" s="1127"/>
      <c r="AI18" s="1127"/>
      <c r="AJ18" s="1128"/>
      <c r="AK18" s="1127"/>
      <c r="AL18" s="1129"/>
      <c r="AM18" s="1130"/>
      <c r="AN18" s="1131"/>
      <c r="AO18" s="1132"/>
      <c r="AP18" s="1128"/>
      <c r="AQ18" s="1127"/>
      <c r="AR18" s="1127"/>
      <c r="AS18" s="1133"/>
      <c r="AT18" s="1134"/>
      <c r="AU18" s="1128"/>
      <c r="AV18" s="1135">
        <f t="shared" si="0"/>
        <v>0</v>
      </c>
      <c r="AW18" s="1136">
        <f t="shared" si="1"/>
        <v>0</v>
      </c>
      <c r="AX18" s="1127">
        <v>1141198.8899999999</v>
      </c>
      <c r="AY18" s="1127">
        <v>945838.49</v>
      </c>
      <c r="AZ18" s="1135">
        <f t="shared" si="2"/>
        <v>1141198.8899999999</v>
      </c>
      <c r="BA18" s="1139">
        <f t="shared" si="3"/>
        <v>945838.49</v>
      </c>
    </row>
    <row r="19" spans="1:53" ht="14.25" x14ac:dyDescent="0.3">
      <c r="A19" s="1138" t="s">
        <v>351</v>
      </c>
      <c r="B19" s="1127">
        <f>B9</f>
        <v>27180</v>
      </c>
      <c r="C19" s="1127">
        <f>C9</f>
        <v>37521</v>
      </c>
      <c r="D19" s="1127">
        <v>262</v>
      </c>
      <c r="E19" s="1127">
        <v>287</v>
      </c>
      <c r="F19" s="1127"/>
      <c r="G19" s="1127"/>
      <c r="H19" s="1127">
        <f>H9</f>
        <v>51224</v>
      </c>
      <c r="I19" s="1127">
        <f>I9</f>
        <v>57927</v>
      </c>
      <c r="J19" s="1127">
        <f>J9</f>
        <v>2959</v>
      </c>
      <c r="K19" s="1127">
        <f>K9</f>
        <v>3683</v>
      </c>
      <c r="L19" s="1127"/>
      <c r="M19" s="1127"/>
      <c r="N19" s="1127">
        <v>8416</v>
      </c>
      <c r="O19" s="1127">
        <v>11227</v>
      </c>
      <c r="P19" s="1127">
        <f>P9</f>
        <v>1735</v>
      </c>
      <c r="Q19" s="1127">
        <v>2844</v>
      </c>
      <c r="R19" s="1127">
        <v>60505</v>
      </c>
      <c r="S19" s="1127"/>
      <c r="T19" s="1127">
        <v>3408</v>
      </c>
      <c r="U19" s="1127">
        <v>6947</v>
      </c>
      <c r="V19" s="1127">
        <v>58277</v>
      </c>
      <c r="W19" s="1127">
        <f>W9</f>
        <v>150933</v>
      </c>
      <c r="X19" s="1127">
        <f>X13</f>
        <v>86008</v>
      </c>
      <c r="Y19" s="1127">
        <f>Y9</f>
        <v>119302</v>
      </c>
      <c r="Z19" s="1127">
        <f>Z13</f>
        <v>1254</v>
      </c>
      <c r="AA19" s="1127">
        <f>AA9</f>
        <v>1846</v>
      </c>
      <c r="AB19" s="1127">
        <f>AB13</f>
        <v>2028</v>
      </c>
      <c r="AC19" s="1127">
        <f>AC9</f>
        <v>3216</v>
      </c>
      <c r="AD19" s="1127"/>
      <c r="AE19" s="1127"/>
      <c r="AF19" s="1127">
        <f>AF13</f>
        <v>62989</v>
      </c>
      <c r="AG19" s="1127">
        <f>AG9</f>
        <v>76932</v>
      </c>
      <c r="AH19" s="1127">
        <f>AH9</f>
        <v>14149</v>
      </c>
      <c r="AI19" s="1127">
        <f>AI9</f>
        <v>21692</v>
      </c>
      <c r="AJ19" s="1128">
        <f>AJ13</f>
        <v>7530</v>
      </c>
      <c r="AK19" s="1127">
        <f>AK9</f>
        <v>10330</v>
      </c>
      <c r="AL19" s="1129"/>
      <c r="AM19" s="1130"/>
      <c r="AN19" s="1131">
        <v>15127</v>
      </c>
      <c r="AO19" s="1132">
        <v>23082</v>
      </c>
      <c r="AP19" s="1128">
        <v>8184</v>
      </c>
      <c r="AQ19" s="1127">
        <f>AQ9</f>
        <v>11758</v>
      </c>
      <c r="AR19" s="1127">
        <f>AR13</f>
        <v>1678</v>
      </c>
      <c r="AS19" s="1133"/>
      <c r="AT19" s="1134">
        <f>AT9</f>
        <v>50331</v>
      </c>
      <c r="AU19" s="1128">
        <f>AU9</f>
        <v>52370</v>
      </c>
      <c r="AV19" s="1135">
        <f t="shared" si="0"/>
        <v>463244</v>
      </c>
      <c r="AW19" s="1136">
        <f t="shared" si="1"/>
        <v>591897</v>
      </c>
      <c r="AX19" s="1127">
        <v>10426426.560000001</v>
      </c>
      <c r="AY19" s="1127">
        <v>10990981.65</v>
      </c>
      <c r="AZ19" s="1135">
        <f t="shared" si="2"/>
        <v>10889670.560000001</v>
      </c>
      <c r="BA19" s="1139">
        <f t="shared" si="3"/>
        <v>11582878.65</v>
      </c>
    </row>
    <row r="20" spans="1:53" ht="14.25" x14ac:dyDescent="0.3">
      <c r="A20" s="1138" t="s">
        <v>352</v>
      </c>
      <c r="B20" s="1127"/>
      <c r="C20" s="1127"/>
      <c r="D20" s="1127">
        <v>6941</v>
      </c>
      <c r="E20" s="1127">
        <v>7252</v>
      </c>
      <c r="F20" s="1127"/>
      <c r="G20" s="1127"/>
      <c r="H20" s="1127"/>
      <c r="I20" s="1127"/>
      <c r="J20" s="1127"/>
      <c r="K20" s="1127"/>
      <c r="L20" s="1127"/>
      <c r="M20" s="1127"/>
      <c r="N20" s="1127"/>
      <c r="O20" s="1127"/>
      <c r="P20" s="1127">
        <f>P10</f>
        <v>35</v>
      </c>
      <c r="Q20" s="1127">
        <v>90</v>
      </c>
      <c r="R20" s="1127">
        <v>34</v>
      </c>
      <c r="S20" s="1127"/>
      <c r="T20" s="1127">
        <v>1</v>
      </c>
      <c r="U20" s="1127">
        <v>10</v>
      </c>
      <c r="V20" s="1127"/>
      <c r="W20" s="1127"/>
      <c r="X20" s="1127"/>
      <c r="Y20" s="1127"/>
      <c r="Z20" s="1127"/>
      <c r="AA20" s="1127"/>
      <c r="AB20" s="1127"/>
      <c r="AC20" s="1127"/>
      <c r="AD20" s="1127"/>
      <c r="AE20" s="1127"/>
      <c r="AF20" s="1127"/>
      <c r="AG20" s="1127">
        <v>12190</v>
      </c>
      <c r="AH20" s="1127"/>
      <c r="AI20" s="1127"/>
      <c r="AJ20" s="1128"/>
      <c r="AK20" s="1127"/>
      <c r="AL20" s="1129"/>
      <c r="AM20" s="1130"/>
      <c r="AN20" s="1131"/>
      <c r="AO20" s="1132"/>
      <c r="AP20" s="1128"/>
      <c r="AQ20" s="1127"/>
      <c r="AR20" s="1127"/>
      <c r="AS20" s="1133"/>
      <c r="AT20" s="1134"/>
      <c r="AU20" s="1128"/>
      <c r="AV20" s="1135">
        <f t="shared" si="0"/>
        <v>7011</v>
      </c>
      <c r="AW20" s="1136">
        <f t="shared" si="1"/>
        <v>19542</v>
      </c>
      <c r="AX20" s="1127">
        <f>31110.24+5280.53+89563.03+616+36177.15+1999.98+312734.82+0.64</f>
        <v>477482.39</v>
      </c>
      <c r="AY20" s="1127">
        <f>28660+4452+35002+616+17454+1333+242339</f>
        <v>329856</v>
      </c>
      <c r="AZ20" s="1135">
        <f t="shared" si="2"/>
        <v>484493.39</v>
      </c>
      <c r="BA20" s="1139">
        <f t="shared" si="3"/>
        <v>349398</v>
      </c>
    </row>
    <row r="21" spans="1:53" ht="14.25" x14ac:dyDescent="0.3">
      <c r="A21" s="1126" t="s">
        <v>345</v>
      </c>
      <c r="B21" s="1127"/>
      <c r="C21" s="1127"/>
      <c r="D21" s="1127"/>
      <c r="E21" s="1127"/>
      <c r="F21" s="1127"/>
      <c r="G21" s="1127"/>
      <c r="H21" s="1127"/>
      <c r="I21" s="1127"/>
      <c r="J21" s="1127"/>
      <c r="K21" s="1127"/>
      <c r="L21" s="1127"/>
      <c r="M21" s="1127"/>
      <c r="N21" s="1127"/>
      <c r="O21" s="1127"/>
      <c r="P21" s="1127"/>
      <c r="Q21" s="1127">
        <v>-1</v>
      </c>
      <c r="R21" s="1127"/>
      <c r="S21" s="1127"/>
      <c r="T21" s="1127"/>
      <c r="U21" s="1127"/>
      <c r="V21" s="1127"/>
      <c r="W21" s="1127"/>
      <c r="X21" s="1127"/>
      <c r="Y21" s="1127"/>
      <c r="Z21" s="1127"/>
      <c r="AA21" s="1127"/>
      <c r="AB21" s="1127"/>
      <c r="AC21" s="1127"/>
      <c r="AD21" s="1127"/>
      <c r="AE21" s="1127"/>
      <c r="AF21" s="1127"/>
      <c r="AG21" s="1127"/>
      <c r="AH21" s="1127"/>
      <c r="AI21" s="1127"/>
      <c r="AJ21" s="1128"/>
      <c r="AK21" s="1127"/>
      <c r="AL21" s="1129"/>
      <c r="AM21" s="1130"/>
      <c r="AN21" s="1131"/>
      <c r="AO21" s="1132"/>
      <c r="AP21" s="1128"/>
      <c r="AQ21" s="1127"/>
      <c r="AR21" s="1127"/>
      <c r="AS21" s="1133"/>
      <c r="AT21" s="1134"/>
      <c r="AU21" s="1128"/>
      <c r="AV21" s="1135">
        <f t="shared" si="0"/>
        <v>0</v>
      </c>
      <c r="AW21" s="1136">
        <f t="shared" si="1"/>
        <v>-1</v>
      </c>
      <c r="AX21" s="1127">
        <v>-1230947.1100000001</v>
      </c>
      <c r="AY21" s="1127">
        <v>-1034552</v>
      </c>
      <c r="AZ21" s="1135"/>
      <c r="BA21" s="1139">
        <f t="shared" si="3"/>
        <v>-1034553</v>
      </c>
    </row>
    <row r="22" spans="1:53" ht="14.25" x14ac:dyDescent="0.3">
      <c r="A22" s="1141" t="s">
        <v>54</v>
      </c>
      <c r="B22" s="1127">
        <f>B9</f>
        <v>27180</v>
      </c>
      <c r="C22" s="1127">
        <f>C9</f>
        <v>37521</v>
      </c>
      <c r="D22" s="1140">
        <f>D19+D20</f>
        <v>7203</v>
      </c>
      <c r="E22" s="1140">
        <v>7539</v>
      </c>
      <c r="F22" s="1127"/>
      <c r="G22" s="1127"/>
      <c r="H22" s="1127">
        <f>H19</f>
        <v>51224</v>
      </c>
      <c r="I22" s="1127">
        <f>I9</f>
        <v>57927</v>
      </c>
      <c r="J22" s="1127">
        <f>J9</f>
        <v>2959</v>
      </c>
      <c r="K22" s="1127">
        <f>K9</f>
        <v>3683</v>
      </c>
      <c r="L22" s="1127">
        <f>L9</f>
        <v>661</v>
      </c>
      <c r="M22" s="1127">
        <f>M9</f>
        <v>1715</v>
      </c>
      <c r="N22" s="1127">
        <f>N19</f>
        <v>8416</v>
      </c>
      <c r="O22" s="1127">
        <v>11227</v>
      </c>
      <c r="P22" s="1127">
        <f>P13</f>
        <v>1771</v>
      </c>
      <c r="Q22" s="1127">
        <v>2933</v>
      </c>
      <c r="R22" s="1127">
        <f>R13</f>
        <v>60539</v>
      </c>
      <c r="S22" s="1127"/>
      <c r="T22" s="1127">
        <f>T13</f>
        <v>3409</v>
      </c>
      <c r="U22" s="1127">
        <v>6957</v>
      </c>
      <c r="V22" s="1127">
        <f>V13</f>
        <v>59277</v>
      </c>
      <c r="W22" s="1127">
        <f>W9</f>
        <v>150933</v>
      </c>
      <c r="X22" s="1127">
        <f>X13</f>
        <v>86008</v>
      </c>
      <c r="Y22" s="1127">
        <f>Y9</f>
        <v>119302</v>
      </c>
      <c r="Z22" s="1127">
        <f>Z19</f>
        <v>1254</v>
      </c>
      <c r="AA22" s="1127">
        <f>AA9</f>
        <v>1846</v>
      </c>
      <c r="AB22" s="1127">
        <f>AB19</f>
        <v>2028</v>
      </c>
      <c r="AC22" s="1127">
        <v>3216</v>
      </c>
      <c r="AD22" s="1127">
        <f>AD13</f>
        <v>7385</v>
      </c>
      <c r="AE22" s="1127">
        <f>AE9</f>
        <v>9582</v>
      </c>
      <c r="AF22" s="1127">
        <f>AF19</f>
        <v>62989</v>
      </c>
      <c r="AG22" s="1127">
        <f>AG13</f>
        <v>89122</v>
      </c>
      <c r="AH22" s="1127">
        <f>AH9</f>
        <v>14149</v>
      </c>
      <c r="AI22" s="1127">
        <f>AI9</f>
        <v>21692</v>
      </c>
      <c r="AJ22" s="1128">
        <f>AJ19</f>
        <v>7530</v>
      </c>
      <c r="AK22" s="1127">
        <f>AK9</f>
        <v>10330</v>
      </c>
      <c r="AL22" s="1129"/>
      <c r="AM22" s="1130"/>
      <c r="AN22" s="1131">
        <f>AN13</f>
        <v>35379</v>
      </c>
      <c r="AO22" s="1132">
        <f>AO13</f>
        <v>37649</v>
      </c>
      <c r="AP22" s="1128">
        <f>AP9</f>
        <v>8184</v>
      </c>
      <c r="AQ22" s="1127">
        <f>AQ9</f>
        <v>11758</v>
      </c>
      <c r="AR22" s="1127">
        <f>AR19</f>
        <v>1678</v>
      </c>
      <c r="AS22" s="1133"/>
      <c r="AT22" s="1134">
        <f>AT9</f>
        <v>50331</v>
      </c>
      <c r="AU22" s="1128">
        <f>AU9</f>
        <v>52370</v>
      </c>
      <c r="AV22" s="1135">
        <f t="shared" si="0"/>
        <v>499554</v>
      </c>
      <c r="AW22" s="1136">
        <f t="shared" si="1"/>
        <v>637302</v>
      </c>
      <c r="AX22" s="1127">
        <v>11006991.939999999</v>
      </c>
      <c r="AY22" s="1127">
        <v>11397534.640000001</v>
      </c>
      <c r="AZ22" s="1135">
        <f t="shared" ref="AZ22:AZ30" si="5">AV22+AX22</f>
        <v>11506545.939999999</v>
      </c>
      <c r="BA22" s="1139">
        <f t="shared" si="3"/>
        <v>12034836.640000001</v>
      </c>
    </row>
    <row r="23" spans="1:53" ht="14.25" x14ac:dyDescent="0.3">
      <c r="A23" s="1141" t="s">
        <v>353</v>
      </c>
      <c r="B23" s="1127"/>
      <c r="C23" s="1127"/>
      <c r="D23" s="1127"/>
      <c r="E23" s="1127"/>
      <c r="F23" s="1127"/>
      <c r="G23" s="1127"/>
      <c r="H23" s="1127"/>
      <c r="I23" s="1127"/>
      <c r="J23" s="1127"/>
      <c r="K23" s="1127"/>
      <c r="L23" s="1127"/>
      <c r="M23" s="1127"/>
      <c r="N23" s="1127"/>
      <c r="O23" s="1127"/>
      <c r="P23" s="1127"/>
      <c r="Q23" s="1127"/>
      <c r="R23" s="1127"/>
      <c r="S23" s="1127"/>
      <c r="T23" s="1127"/>
      <c r="U23" s="1127"/>
      <c r="V23" s="1127"/>
      <c r="W23" s="1127"/>
      <c r="X23" s="1127"/>
      <c r="Y23" s="1127"/>
      <c r="Z23" s="1127"/>
      <c r="AA23" s="1127"/>
      <c r="AB23" s="1127"/>
      <c r="AC23" s="1127"/>
      <c r="AD23" s="1127"/>
      <c r="AE23" s="1127"/>
      <c r="AF23" s="1127"/>
      <c r="AG23" s="1127"/>
      <c r="AH23" s="1127"/>
      <c r="AI23" s="1127"/>
      <c r="AJ23" s="1128"/>
      <c r="AK23" s="1127"/>
      <c r="AL23" s="1129"/>
      <c r="AM23" s="1130"/>
      <c r="AN23" s="1131"/>
      <c r="AO23" s="1132"/>
      <c r="AP23" s="1128"/>
      <c r="AQ23" s="1127"/>
      <c r="AR23" s="1127"/>
      <c r="AS23" s="1133"/>
      <c r="AT23" s="1134"/>
      <c r="AU23" s="1128"/>
      <c r="AV23" s="1135">
        <f t="shared" si="0"/>
        <v>0</v>
      </c>
      <c r="AW23" s="1136">
        <f t="shared" si="1"/>
        <v>0</v>
      </c>
      <c r="AX23" s="1127"/>
      <c r="AY23" s="1127"/>
      <c r="AZ23" s="1135">
        <f t="shared" si="5"/>
        <v>0</v>
      </c>
      <c r="BA23" s="1139">
        <f t="shared" si="3"/>
        <v>0</v>
      </c>
    </row>
    <row r="24" spans="1:53" ht="14.25" x14ac:dyDescent="0.3">
      <c r="A24" s="1138" t="s">
        <v>354</v>
      </c>
      <c r="B24" s="1127"/>
      <c r="C24" s="1127"/>
      <c r="D24" s="1127"/>
      <c r="E24" s="1127"/>
      <c r="F24" s="1127"/>
      <c r="G24" s="1127"/>
      <c r="H24" s="1127"/>
      <c r="I24" s="1127"/>
      <c r="J24" s="1127"/>
      <c r="K24" s="1127"/>
      <c r="L24" s="1127"/>
      <c r="M24" s="1127"/>
      <c r="N24" s="1127"/>
      <c r="O24" s="1127"/>
      <c r="P24" s="1127"/>
      <c r="Q24" s="1127"/>
      <c r="R24" s="1127"/>
      <c r="S24" s="1127"/>
      <c r="T24" s="1127"/>
      <c r="U24" s="1127"/>
      <c r="V24" s="1127"/>
      <c r="W24" s="1127"/>
      <c r="X24" s="1127"/>
      <c r="Y24" s="1127"/>
      <c r="Z24" s="1127"/>
      <c r="AA24" s="1127"/>
      <c r="AB24" s="1127"/>
      <c r="AC24" s="1127"/>
      <c r="AD24" s="1127"/>
      <c r="AE24" s="1127"/>
      <c r="AF24" s="1127"/>
      <c r="AG24" s="1127"/>
      <c r="AH24" s="1127"/>
      <c r="AI24" s="1127"/>
      <c r="AJ24" s="1128"/>
      <c r="AK24" s="1127"/>
      <c r="AL24" s="1129"/>
      <c r="AM24" s="1130"/>
      <c r="AN24" s="1131"/>
      <c r="AO24" s="1132"/>
      <c r="AP24" s="1128"/>
      <c r="AQ24" s="1127"/>
      <c r="AR24" s="1127"/>
      <c r="AS24" s="1133"/>
      <c r="AT24" s="1134"/>
      <c r="AU24" s="1128"/>
      <c r="AV24" s="1135">
        <f t="shared" si="0"/>
        <v>0</v>
      </c>
      <c r="AW24" s="1136">
        <f t="shared" si="1"/>
        <v>0</v>
      </c>
      <c r="AX24" s="1127"/>
      <c r="AY24" s="1127"/>
      <c r="AZ24" s="1135">
        <f t="shared" si="5"/>
        <v>0</v>
      </c>
      <c r="BA24" s="1139">
        <f t="shared" si="3"/>
        <v>0</v>
      </c>
    </row>
    <row r="25" spans="1:53" ht="14.25" x14ac:dyDescent="0.3">
      <c r="A25" s="1138" t="s">
        <v>355</v>
      </c>
      <c r="B25" s="1127">
        <f>B9</f>
        <v>27180</v>
      </c>
      <c r="C25" s="1127">
        <f>C9</f>
        <v>37521</v>
      </c>
      <c r="D25" s="1140">
        <f>D22</f>
        <v>7203</v>
      </c>
      <c r="E25" s="1140">
        <v>7539</v>
      </c>
      <c r="F25" s="1127"/>
      <c r="G25" s="1127"/>
      <c r="H25" s="1127">
        <f>H22</f>
        <v>51224</v>
      </c>
      <c r="I25" s="1127">
        <f>I9</f>
        <v>57927</v>
      </c>
      <c r="J25" s="1127">
        <f>J9</f>
        <v>2959</v>
      </c>
      <c r="K25" s="1127">
        <f>K9</f>
        <v>3683</v>
      </c>
      <c r="L25" s="1127">
        <f>L9</f>
        <v>661</v>
      </c>
      <c r="M25" s="1127">
        <f>M9</f>
        <v>1715</v>
      </c>
      <c r="N25" s="1127">
        <f>N19</f>
        <v>8416</v>
      </c>
      <c r="O25" s="1127">
        <v>11227</v>
      </c>
      <c r="P25" s="1127">
        <f>P22</f>
        <v>1771</v>
      </c>
      <c r="Q25" s="1127">
        <v>2933</v>
      </c>
      <c r="R25" s="1127">
        <f>R22</f>
        <v>60539</v>
      </c>
      <c r="S25" s="1127"/>
      <c r="T25" s="1127">
        <v>3408</v>
      </c>
      <c r="U25" s="1127">
        <v>6957</v>
      </c>
      <c r="V25" s="1127">
        <f t="shared" ref="V25:AF25" si="6">V22</f>
        <v>59277</v>
      </c>
      <c r="W25" s="1127">
        <f>W9</f>
        <v>150933</v>
      </c>
      <c r="X25" s="1127">
        <f t="shared" si="6"/>
        <v>86008</v>
      </c>
      <c r="Y25" s="1127">
        <f>Y9</f>
        <v>119302</v>
      </c>
      <c r="Z25" s="1127">
        <f t="shared" si="6"/>
        <v>1254</v>
      </c>
      <c r="AA25" s="1127">
        <f>AA9</f>
        <v>1846</v>
      </c>
      <c r="AB25" s="1127">
        <f t="shared" si="6"/>
        <v>2028</v>
      </c>
      <c r="AC25" s="1127">
        <v>3216</v>
      </c>
      <c r="AD25" s="1127">
        <f t="shared" si="6"/>
        <v>7385</v>
      </c>
      <c r="AE25" s="1127">
        <f>AE9</f>
        <v>9582</v>
      </c>
      <c r="AF25" s="1127">
        <f t="shared" si="6"/>
        <v>62989</v>
      </c>
      <c r="AG25" s="1127">
        <f>AG22</f>
        <v>89122</v>
      </c>
      <c r="AH25" s="1127">
        <f>AH9</f>
        <v>14149</v>
      </c>
      <c r="AI25" s="1127">
        <f>AI9</f>
        <v>21692</v>
      </c>
      <c r="AJ25" s="1128">
        <f>AJ22</f>
        <v>7530</v>
      </c>
      <c r="AK25" s="1127">
        <f>AK9</f>
        <v>10330</v>
      </c>
      <c r="AL25" s="1129"/>
      <c r="AM25" s="1130"/>
      <c r="AN25" s="1131">
        <f>AN22</f>
        <v>35379</v>
      </c>
      <c r="AO25" s="1132">
        <f>AO22</f>
        <v>37649</v>
      </c>
      <c r="AP25" s="1128">
        <f>AP9</f>
        <v>8184</v>
      </c>
      <c r="AQ25" s="1127">
        <f>AQ9</f>
        <v>11758</v>
      </c>
      <c r="AR25" s="1127">
        <f>AR22</f>
        <v>1678</v>
      </c>
      <c r="AS25" s="1133"/>
      <c r="AT25" s="1134">
        <f>AT9</f>
        <v>50331</v>
      </c>
      <c r="AU25" s="1128">
        <f>AU9</f>
        <v>52370</v>
      </c>
      <c r="AV25" s="1135">
        <f t="shared" si="0"/>
        <v>499553</v>
      </c>
      <c r="AW25" s="1136">
        <f t="shared" si="1"/>
        <v>637302</v>
      </c>
      <c r="AX25" s="1127">
        <v>110255864.29000001</v>
      </c>
      <c r="AY25" s="1127">
        <v>11431504.65</v>
      </c>
      <c r="AZ25" s="1135">
        <f t="shared" si="5"/>
        <v>110755417.29000001</v>
      </c>
      <c r="BA25" s="1139">
        <f t="shared" si="3"/>
        <v>12068806.65</v>
      </c>
    </row>
    <row r="26" spans="1:53" ht="14.25" x14ac:dyDescent="0.3">
      <c r="A26" s="1138" t="s">
        <v>356</v>
      </c>
      <c r="B26" s="1127"/>
      <c r="C26" s="1127"/>
      <c r="D26" s="1127"/>
      <c r="E26" s="1127"/>
      <c r="F26" s="1127"/>
      <c r="G26" s="1127"/>
      <c r="H26" s="1127"/>
      <c r="I26" s="1127"/>
      <c r="J26" s="1127"/>
      <c r="K26" s="1127"/>
      <c r="L26" s="1127"/>
      <c r="M26" s="1127"/>
      <c r="N26" s="1127"/>
      <c r="O26" s="1127"/>
      <c r="P26" s="1127"/>
      <c r="Q26" s="1127"/>
      <c r="R26" s="1127"/>
      <c r="S26" s="1127"/>
      <c r="T26" s="1127"/>
      <c r="U26" s="1127"/>
      <c r="V26" s="1127"/>
      <c r="W26" s="1127"/>
      <c r="X26" s="1127"/>
      <c r="Y26" s="1127"/>
      <c r="Z26" s="1127"/>
      <c r="AA26" s="1127"/>
      <c r="AB26" s="1127"/>
      <c r="AC26" s="1127"/>
      <c r="AD26" s="1127"/>
      <c r="AE26" s="1127"/>
      <c r="AF26" s="1127"/>
      <c r="AG26" s="1127"/>
      <c r="AH26" s="1127"/>
      <c r="AI26" s="1127"/>
      <c r="AJ26" s="1128"/>
      <c r="AK26" s="1127"/>
      <c r="AL26" s="1129"/>
      <c r="AM26" s="1130"/>
      <c r="AN26" s="1131"/>
      <c r="AO26" s="1132"/>
      <c r="AP26" s="1128"/>
      <c r="AQ26" s="1127"/>
      <c r="AR26" s="1127"/>
      <c r="AS26" s="1133"/>
      <c r="AT26" s="1134"/>
      <c r="AU26" s="1128"/>
      <c r="AV26" s="1135">
        <f t="shared" si="0"/>
        <v>0</v>
      </c>
      <c r="AW26" s="1136">
        <f t="shared" si="1"/>
        <v>0</v>
      </c>
      <c r="AX26" s="1127">
        <v>14775.99</v>
      </c>
      <c r="AY26" s="1127">
        <v>15773.94</v>
      </c>
      <c r="AZ26" s="1135">
        <f t="shared" si="5"/>
        <v>14775.99</v>
      </c>
      <c r="BA26" s="1139">
        <f t="shared" si="3"/>
        <v>15773.94</v>
      </c>
    </row>
    <row r="27" spans="1:53" ht="14.25" x14ac:dyDescent="0.3">
      <c r="A27" s="1126" t="s">
        <v>357</v>
      </c>
      <c r="B27" s="1127"/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7"/>
      <c r="P27" s="1127"/>
      <c r="Q27" s="1127"/>
      <c r="R27" s="1127"/>
      <c r="S27" s="1127"/>
      <c r="T27" s="1127"/>
      <c r="U27" s="1127"/>
      <c r="V27" s="1127"/>
      <c r="W27" s="1127"/>
      <c r="X27" s="1127"/>
      <c r="Y27" s="1127"/>
      <c r="Z27" s="1127"/>
      <c r="AA27" s="1127"/>
      <c r="AB27" s="1127"/>
      <c r="AC27" s="1127"/>
      <c r="AD27" s="1127"/>
      <c r="AE27" s="1127"/>
      <c r="AF27" s="1127"/>
      <c r="AG27" s="1127"/>
      <c r="AH27" s="1127"/>
      <c r="AI27" s="1127"/>
      <c r="AJ27" s="1128"/>
      <c r="AK27" s="1127"/>
      <c r="AL27" s="1129"/>
      <c r="AM27" s="1130"/>
      <c r="AN27" s="1131"/>
      <c r="AO27" s="1132"/>
      <c r="AP27" s="1128"/>
      <c r="AQ27" s="1127"/>
      <c r="AR27" s="1127"/>
      <c r="AS27" s="1133"/>
      <c r="AT27" s="1134"/>
      <c r="AU27" s="1128"/>
      <c r="AV27" s="1135">
        <f t="shared" si="0"/>
        <v>0</v>
      </c>
      <c r="AW27" s="1136">
        <f t="shared" si="1"/>
        <v>0</v>
      </c>
      <c r="AX27" s="1127">
        <v>-55318.05</v>
      </c>
      <c r="AY27" s="1127">
        <v>-50837.95</v>
      </c>
      <c r="AZ27" s="1135">
        <f t="shared" si="5"/>
        <v>-55318.05</v>
      </c>
      <c r="BA27" s="1139">
        <f t="shared" si="3"/>
        <v>-50837.95</v>
      </c>
    </row>
    <row r="28" spans="1:53" ht="14.25" x14ac:dyDescent="0.3">
      <c r="A28" s="1138" t="s">
        <v>358</v>
      </c>
      <c r="B28" s="1127"/>
      <c r="C28" s="1127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27"/>
      <c r="W28" s="1127"/>
      <c r="X28" s="1127"/>
      <c r="Y28" s="1127"/>
      <c r="Z28" s="1127"/>
      <c r="AA28" s="1127"/>
      <c r="AB28" s="1127"/>
      <c r="AC28" s="1127"/>
      <c r="AD28" s="1127"/>
      <c r="AE28" s="1127"/>
      <c r="AF28" s="1127"/>
      <c r="AG28" s="1127"/>
      <c r="AH28" s="1127"/>
      <c r="AI28" s="1127"/>
      <c r="AJ28" s="1128"/>
      <c r="AK28" s="1127"/>
      <c r="AL28" s="1129"/>
      <c r="AM28" s="1130"/>
      <c r="AN28" s="1131"/>
      <c r="AO28" s="1132"/>
      <c r="AP28" s="1128"/>
      <c r="AQ28" s="1127"/>
      <c r="AR28" s="1127"/>
      <c r="AS28" s="1133"/>
      <c r="AT28" s="1134"/>
      <c r="AU28" s="1128"/>
      <c r="AV28" s="1135">
        <f t="shared" si="0"/>
        <v>0</v>
      </c>
      <c r="AW28" s="1136">
        <f t="shared" si="1"/>
        <v>0</v>
      </c>
      <c r="AX28" s="1127"/>
      <c r="AY28" s="1127"/>
      <c r="AZ28" s="1135">
        <f t="shared" si="5"/>
        <v>0</v>
      </c>
      <c r="BA28" s="1139">
        <f t="shared" si="3"/>
        <v>0</v>
      </c>
    </row>
    <row r="29" spans="1:53" ht="14.25" x14ac:dyDescent="0.3">
      <c r="A29" s="1138" t="s">
        <v>355</v>
      </c>
      <c r="B29" s="1127"/>
      <c r="C29" s="1127"/>
      <c r="D29" s="1127"/>
      <c r="E29" s="1127"/>
      <c r="F29" s="1127"/>
      <c r="G29" s="1127"/>
      <c r="H29" s="1127"/>
      <c r="I29" s="1127"/>
      <c r="J29" s="1127"/>
      <c r="K29" s="1127"/>
      <c r="L29" s="1127"/>
      <c r="M29" s="1127"/>
      <c r="N29" s="1127"/>
      <c r="O29" s="1127"/>
      <c r="P29" s="1127"/>
      <c r="Q29" s="1127"/>
      <c r="R29" s="1127"/>
      <c r="S29" s="1127"/>
      <c r="T29" s="1127">
        <v>1</v>
      </c>
      <c r="U29" s="1127"/>
      <c r="V29" s="1127"/>
      <c r="W29" s="1127"/>
      <c r="X29" s="1127"/>
      <c r="Y29" s="1127"/>
      <c r="Z29" s="1127"/>
      <c r="AA29" s="1127"/>
      <c r="AB29" s="1127"/>
      <c r="AC29" s="1127"/>
      <c r="AD29" s="1127"/>
      <c r="AE29" s="1127"/>
      <c r="AF29" s="1127"/>
      <c r="AG29" s="1127"/>
      <c r="AH29" s="1127"/>
      <c r="AI29" s="1127"/>
      <c r="AJ29" s="1128"/>
      <c r="AK29" s="1127"/>
      <c r="AL29" s="1129"/>
      <c r="AM29" s="1130"/>
      <c r="AN29" s="1131"/>
      <c r="AO29" s="1132"/>
      <c r="AP29" s="1128"/>
      <c r="AQ29" s="1127"/>
      <c r="AR29" s="1127"/>
      <c r="AS29" s="1133"/>
      <c r="AT29" s="1134"/>
      <c r="AU29" s="1128"/>
      <c r="AV29" s="1135">
        <f t="shared" si="0"/>
        <v>1</v>
      </c>
      <c r="AW29" s="1136">
        <f t="shared" si="1"/>
        <v>0</v>
      </c>
      <c r="AX29" s="1127">
        <v>1096347.6200000001</v>
      </c>
      <c r="AY29" s="1127">
        <v>983834.07</v>
      </c>
      <c r="AZ29" s="1135">
        <f t="shared" si="5"/>
        <v>1096348.6200000001</v>
      </c>
      <c r="BA29" s="1139">
        <f t="shared" si="3"/>
        <v>983834.07</v>
      </c>
    </row>
    <row r="30" spans="1:53" ht="14.25" x14ac:dyDescent="0.3">
      <c r="A30" s="1138" t="s">
        <v>359</v>
      </c>
      <c r="B30" s="1127"/>
      <c r="C30" s="1127"/>
      <c r="D30" s="1127"/>
      <c r="E30" s="1127"/>
      <c r="F30" s="1127"/>
      <c r="G30" s="1127"/>
      <c r="H30" s="1127"/>
      <c r="I30" s="1127"/>
      <c r="J30" s="1127"/>
      <c r="K30" s="1127"/>
      <c r="L30" s="1127"/>
      <c r="M30" s="1127"/>
      <c r="N30" s="1127"/>
      <c r="O30" s="1127"/>
      <c r="P30" s="1127"/>
      <c r="Q30" s="1127"/>
      <c r="R30" s="1127"/>
      <c r="S30" s="1127"/>
      <c r="T30" s="1127"/>
      <c r="U30" s="1127"/>
      <c r="V30" s="1127"/>
      <c r="W30" s="1127"/>
      <c r="X30" s="1127"/>
      <c r="Y30" s="1127"/>
      <c r="Z30" s="1127"/>
      <c r="AA30" s="1127"/>
      <c r="AB30" s="1127"/>
      <c r="AC30" s="1127"/>
      <c r="AD30" s="1127"/>
      <c r="AE30" s="1127"/>
      <c r="AF30" s="1127"/>
      <c r="AG30" s="1127"/>
      <c r="AH30" s="1127"/>
      <c r="AI30" s="1127"/>
      <c r="AJ30" s="1128"/>
      <c r="AK30" s="1127"/>
      <c r="AL30" s="1129"/>
      <c r="AM30" s="1130"/>
      <c r="AN30" s="1131"/>
      <c r="AO30" s="1132"/>
      <c r="AP30" s="1128"/>
      <c r="AQ30" s="1127"/>
      <c r="AR30" s="1127"/>
      <c r="AS30" s="1133"/>
      <c r="AT30" s="1134"/>
      <c r="AU30" s="1128"/>
      <c r="AV30" s="1135">
        <f t="shared" si="0"/>
        <v>0</v>
      </c>
      <c r="AW30" s="1136">
        <f t="shared" si="1"/>
        <v>0</v>
      </c>
      <c r="AX30" s="1127">
        <v>951.15</v>
      </c>
      <c r="AY30" s="1127">
        <v>973.81</v>
      </c>
      <c r="AZ30" s="1135">
        <f t="shared" si="5"/>
        <v>951.15</v>
      </c>
      <c r="BA30" s="1139">
        <f t="shared" si="3"/>
        <v>973.81</v>
      </c>
    </row>
    <row r="31" spans="1:53" ht="14.25" x14ac:dyDescent="0.3">
      <c r="A31" s="1126" t="s">
        <v>360</v>
      </c>
      <c r="B31" s="1127"/>
      <c r="C31" s="1127"/>
      <c r="D31" s="1127"/>
      <c r="E31" s="1127"/>
      <c r="F31" s="1127"/>
      <c r="G31" s="1127"/>
      <c r="H31" s="1127"/>
      <c r="I31" s="1127"/>
      <c r="J31" s="1127"/>
      <c r="K31" s="1127"/>
      <c r="L31" s="1127"/>
      <c r="M31" s="1127"/>
      <c r="N31" s="1127"/>
      <c r="O31" s="1127"/>
      <c r="P31" s="1127"/>
      <c r="Q31" s="1127"/>
      <c r="R31" s="1127"/>
      <c r="S31" s="1127"/>
      <c r="T31" s="1127"/>
      <c r="U31" s="1127"/>
      <c r="V31" s="1127"/>
      <c r="W31" s="1127"/>
      <c r="X31" s="1127"/>
      <c r="Y31" s="1127"/>
      <c r="Z31" s="1127"/>
      <c r="AA31" s="1127"/>
      <c r="AB31" s="1127"/>
      <c r="AC31" s="1127"/>
      <c r="AD31" s="1127"/>
      <c r="AE31" s="1127"/>
      <c r="AF31" s="1127"/>
      <c r="AG31" s="1127"/>
      <c r="AH31" s="1127"/>
      <c r="AI31" s="1127"/>
      <c r="AJ31" s="1128"/>
      <c r="AK31" s="1127"/>
      <c r="AL31" s="1129"/>
      <c r="AM31" s="1130"/>
      <c r="AN31" s="1131"/>
      <c r="AO31" s="1132"/>
      <c r="AP31" s="1128"/>
      <c r="AQ31" s="1127"/>
      <c r="AR31" s="1127"/>
      <c r="AS31" s="1133"/>
      <c r="AT31" s="1134"/>
      <c r="AU31" s="1128"/>
      <c r="AV31" s="1135">
        <f t="shared" si="0"/>
        <v>0</v>
      </c>
      <c r="AW31" s="1136">
        <f t="shared" si="1"/>
        <v>0</v>
      </c>
      <c r="AX31" s="1127">
        <v>-1175629.06</v>
      </c>
      <c r="AY31" s="1127">
        <v>-983713.88</v>
      </c>
      <c r="AZ31" s="1135"/>
      <c r="BA31" s="1139">
        <f t="shared" si="3"/>
        <v>-983713.88</v>
      </c>
    </row>
    <row r="32" spans="1:53" ht="14.25" x14ac:dyDescent="0.3">
      <c r="A32" s="1141" t="s">
        <v>54</v>
      </c>
      <c r="B32" s="1127">
        <f>B25</f>
        <v>27180</v>
      </c>
      <c r="C32" s="1127">
        <f>C13</f>
        <v>37521</v>
      </c>
      <c r="D32" s="1140">
        <f>D25</f>
        <v>7203</v>
      </c>
      <c r="E32" s="1140">
        <v>7539</v>
      </c>
      <c r="F32" s="1127"/>
      <c r="G32" s="1127"/>
      <c r="H32" s="1127">
        <f>H25</f>
        <v>51224</v>
      </c>
      <c r="I32" s="1127">
        <f>I9</f>
        <v>57927</v>
      </c>
      <c r="J32" s="1127">
        <f>J9</f>
        <v>2959</v>
      </c>
      <c r="K32" s="1127">
        <f>K9</f>
        <v>3683</v>
      </c>
      <c r="L32" s="1127">
        <f>L9</f>
        <v>661</v>
      </c>
      <c r="M32" s="1127">
        <f>M9</f>
        <v>1715</v>
      </c>
      <c r="N32" s="1127">
        <f>N25</f>
        <v>8416</v>
      </c>
      <c r="O32" s="1127">
        <v>11227</v>
      </c>
      <c r="P32" s="1127">
        <f>P25</f>
        <v>1771</v>
      </c>
      <c r="Q32" s="1127">
        <v>2933</v>
      </c>
      <c r="R32" s="1127">
        <f>R25</f>
        <v>60539</v>
      </c>
      <c r="S32" s="1127"/>
      <c r="T32" s="1127">
        <f>T22</f>
        <v>3409</v>
      </c>
      <c r="U32" s="1127">
        <v>6957</v>
      </c>
      <c r="V32" s="1127">
        <f t="shared" ref="V32:AF32" si="7">V25</f>
        <v>59277</v>
      </c>
      <c r="W32" s="1127">
        <f>W9</f>
        <v>150933</v>
      </c>
      <c r="X32" s="1127">
        <f t="shared" si="7"/>
        <v>86008</v>
      </c>
      <c r="Y32" s="1127">
        <f>Y9</f>
        <v>119302</v>
      </c>
      <c r="Z32" s="1127">
        <f t="shared" si="7"/>
        <v>1254</v>
      </c>
      <c r="AA32" s="1127">
        <f>AA9</f>
        <v>1846</v>
      </c>
      <c r="AB32" s="1127">
        <f t="shared" si="7"/>
        <v>2028</v>
      </c>
      <c r="AC32" s="1127">
        <v>3216</v>
      </c>
      <c r="AD32" s="1127">
        <f t="shared" si="7"/>
        <v>7385</v>
      </c>
      <c r="AE32" s="1127">
        <f>AE13</f>
        <v>9582</v>
      </c>
      <c r="AF32" s="1127">
        <f t="shared" si="7"/>
        <v>62989</v>
      </c>
      <c r="AG32" s="1127">
        <f>AG22</f>
        <v>89122</v>
      </c>
      <c r="AH32" s="1127">
        <f>AH9</f>
        <v>14149</v>
      </c>
      <c r="AI32" s="1127">
        <f>AI9</f>
        <v>21692</v>
      </c>
      <c r="AJ32" s="1128">
        <f>AJ25</f>
        <v>7530</v>
      </c>
      <c r="AK32" s="1127">
        <f>AK9</f>
        <v>10330</v>
      </c>
      <c r="AL32" s="1129"/>
      <c r="AM32" s="1130"/>
      <c r="AN32" s="1131">
        <f>AN25</f>
        <v>35379</v>
      </c>
      <c r="AO32" s="1132">
        <f>AO25</f>
        <v>37649</v>
      </c>
      <c r="AP32" s="1128">
        <f>AP9</f>
        <v>8184</v>
      </c>
      <c r="AQ32" s="1127">
        <f>AQ9</f>
        <v>11758</v>
      </c>
      <c r="AR32" s="1127">
        <f>AR25</f>
        <v>1678</v>
      </c>
      <c r="AS32" s="1133"/>
      <c r="AT32" s="1134">
        <f>AT9</f>
        <v>50331</v>
      </c>
      <c r="AU32" s="1128">
        <f>AU13</f>
        <v>52370</v>
      </c>
      <c r="AV32" s="1135">
        <f t="shared" si="0"/>
        <v>499554</v>
      </c>
      <c r="AW32" s="1136">
        <f t="shared" si="1"/>
        <v>637302</v>
      </c>
      <c r="AX32" s="1127">
        <v>11006991.939999999</v>
      </c>
      <c r="AY32" s="1127">
        <v>11397534.640000001</v>
      </c>
      <c r="AZ32" s="1135">
        <f>AV32+AX32</f>
        <v>11506545.939999999</v>
      </c>
      <c r="BA32" s="1139">
        <f t="shared" si="3"/>
        <v>12034836.640000001</v>
      </c>
    </row>
    <row r="33" spans="1:53" ht="14.25" x14ac:dyDescent="0.3">
      <c r="A33" s="1141" t="s">
        <v>361</v>
      </c>
      <c r="B33" s="1127"/>
      <c r="C33" s="1127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7"/>
      <c r="AA33" s="1127"/>
      <c r="AB33" s="1127"/>
      <c r="AC33" s="1127"/>
      <c r="AD33" s="1127"/>
      <c r="AE33" s="1127"/>
      <c r="AF33" s="1127"/>
      <c r="AG33" s="1127"/>
      <c r="AH33" s="1127"/>
      <c r="AI33" s="1127"/>
      <c r="AJ33" s="1128"/>
      <c r="AK33" s="1127"/>
      <c r="AL33" s="1129"/>
      <c r="AM33" s="1130"/>
      <c r="AN33" s="1131"/>
      <c r="AO33" s="1132"/>
      <c r="AP33" s="1128"/>
      <c r="AQ33" s="1127"/>
      <c r="AR33" s="1127"/>
      <c r="AS33" s="1133"/>
      <c r="AT33" s="1134"/>
      <c r="AU33" s="1128"/>
      <c r="AV33" s="1135">
        <f t="shared" si="0"/>
        <v>0</v>
      </c>
      <c r="AW33" s="1136">
        <f t="shared" si="1"/>
        <v>0</v>
      </c>
      <c r="AX33" s="1127"/>
      <c r="AY33" s="1127"/>
      <c r="AZ33" s="1135">
        <f>AV33+AX33</f>
        <v>0</v>
      </c>
      <c r="BA33" s="1139">
        <f t="shared" si="3"/>
        <v>0</v>
      </c>
    </row>
    <row r="34" spans="1:53" ht="14.25" x14ac:dyDescent="0.3">
      <c r="A34" s="1138" t="s">
        <v>362</v>
      </c>
      <c r="B34" s="1127">
        <v>332</v>
      </c>
      <c r="C34" s="1127">
        <v>471</v>
      </c>
      <c r="D34" s="1127">
        <v>6</v>
      </c>
      <c r="E34" s="1127"/>
      <c r="F34" s="1127"/>
      <c r="G34" s="1127"/>
      <c r="H34" s="1127">
        <v>5742</v>
      </c>
      <c r="I34" s="1127">
        <v>6979</v>
      </c>
      <c r="J34" s="1127"/>
      <c r="K34" s="1127"/>
      <c r="L34" s="1127"/>
      <c r="M34" s="1127"/>
      <c r="N34" s="1127">
        <v>241</v>
      </c>
      <c r="O34" s="1127">
        <v>704</v>
      </c>
      <c r="P34" s="1127">
        <v>35</v>
      </c>
      <c r="Q34" s="1127">
        <v>89</v>
      </c>
      <c r="R34" s="1127">
        <v>3309</v>
      </c>
      <c r="S34" s="1127"/>
      <c r="T34" s="1127">
        <v>1</v>
      </c>
      <c r="U34" s="1127">
        <v>63</v>
      </c>
      <c r="V34" s="1127">
        <v>17788</v>
      </c>
      <c r="W34" s="1127">
        <v>29634</v>
      </c>
      <c r="X34" s="1127">
        <v>933</v>
      </c>
      <c r="Y34" s="1127">
        <v>2061</v>
      </c>
      <c r="Z34" s="1127"/>
      <c r="AA34" s="1127"/>
      <c r="AB34" s="1127">
        <v>109</v>
      </c>
      <c r="AC34" s="1127">
        <v>211</v>
      </c>
      <c r="AD34" s="1127">
        <v>667</v>
      </c>
      <c r="AE34" s="1127">
        <v>565</v>
      </c>
      <c r="AF34" s="1127">
        <v>1533</v>
      </c>
      <c r="AG34" s="1127">
        <v>2380</v>
      </c>
      <c r="AH34" s="1127">
        <v>324</v>
      </c>
      <c r="AI34" s="1127">
        <v>905</v>
      </c>
      <c r="AJ34" s="1128">
        <v>368</v>
      </c>
      <c r="AK34" s="1127">
        <v>418</v>
      </c>
      <c r="AL34" s="1129"/>
      <c r="AM34" s="1130"/>
      <c r="AN34" s="1131">
        <v>4539</v>
      </c>
      <c r="AO34" s="1132">
        <v>1574</v>
      </c>
      <c r="AP34" s="1128">
        <v>271</v>
      </c>
      <c r="AQ34" s="1127">
        <v>290</v>
      </c>
      <c r="AR34" s="1127">
        <v>374</v>
      </c>
      <c r="AS34" s="1133"/>
      <c r="AT34" s="1134"/>
      <c r="AU34" s="1128"/>
      <c r="AV34" s="1135">
        <f t="shared" si="0"/>
        <v>36572</v>
      </c>
      <c r="AW34" s="1136">
        <f t="shared" si="1"/>
        <v>46344</v>
      </c>
      <c r="AX34" s="1127">
        <v>1140524.33</v>
      </c>
      <c r="AY34" s="1127">
        <v>976721.12</v>
      </c>
      <c r="AZ34" s="1135"/>
      <c r="BA34" s="1139">
        <f t="shared" si="3"/>
        <v>1023065.12</v>
      </c>
    </row>
    <row r="35" spans="1:53" ht="14.25" x14ac:dyDescent="0.3">
      <c r="A35" s="1138" t="s">
        <v>363</v>
      </c>
      <c r="B35" s="1142"/>
      <c r="C35" s="1142"/>
      <c r="D35" s="1142">
        <v>0</v>
      </c>
      <c r="E35" s="1142"/>
      <c r="F35" s="1142">
        <v>0</v>
      </c>
      <c r="G35" s="1142"/>
      <c r="H35" s="1142"/>
      <c r="I35" s="1142"/>
      <c r="J35" s="1142">
        <v>0</v>
      </c>
      <c r="K35" s="1142"/>
      <c r="L35" s="1142">
        <v>0</v>
      </c>
      <c r="M35" s="1142"/>
      <c r="N35" s="1142">
        <v>0</v>
      </c>
      <c r="O35" s="1142"/>
      <c r="P35" s="1142">
        <v>0</v>
      </c>
      <c r="Q35" s="1142"/>
      <c r="R35" s="1142"/>
      <c r="S35" s="1142"/>
      <c r="T35" s="1142">
        <v>0</v>
      </c>
      <c r="U35" s="1142"/>
      <c r="V35" s="1142"/>
      <c r="W35" s="1142"/>
      <c r="X35" s="1142"/>
      <c r="Y35" s="1142"/>
      <c r="Z35" s="1142">
        <v>0</v>
      </c>
      <c r="AA35" s="1142"/>
      <c r="AB35" s="1142">
        <v>0</v>
      </c>
      <c r="AC35" s="1142"/>
      <c r="AD35" s="1142"/>
      <c r="AE35" s="1142"/>
      <c r="AF35" s="1142"/>
      <c r="AG35" s="1142"/>
      <c r="AH35" s="1142"/>
      <c r="AI35" s="1142"/>
      <c r="AJ35" s="1143"/>
      <c r="AK35" s="1142"/>
      <c r="AL35" s="1142">
        <v>0</v>
      </c>
      <c r="AM35" s="1144"/>
      <c r="AN35" s="1143"/>
      <c r="AO35" s="1142"/>
      <c r="AP35" s="1143"/>
      <c r="AQ35" s="1142"/>
      <c r="AR35" s="1142">
        <v>0</v>
      </c>
      <c r="AS35" s="1144"/>
      <c r="AT35" s="1145">
        <v>0</v>
      </c>
      <c r="AU35" s="1143"/>
      <c r="AV35" s="1135">
        <f t="shared" si="0"/>
        <v>0</v>
      </c>
      <c r="AW35" s="1136">
        <f t="shared" si="1"/>
        <v>0</v>
      </c>
      <c r="AX35" s="1142"/>
      <c r="AY35" s="1142"/>
      <c r="AZ35" s="1135"/>
      <c r="BA35" s="1139">
        <f>AW35+AY35</f>
        <v>0</v>
      </c>
    </row>
    <row r="36" spans="1:53" ht="14.25" x14ac:dyDescent="0.3">
      <c r="A36" s="1138" t="s">
        <v>364</v>
      </c>
      <c r="B36" s="1142"/>
      <c r="C36" s="1142"/>
      <c r="D36" s="1142"/>
      <c r="E36" s="1142"/>
      <c r="F36" s="1142"/>
      <c r="G36" s="1142"/>
      <c r="H36" s="1142"/>
      <c r="I36" s="1142"/>
      <c r="J36" s="1142"/>
      <c r="K36" s="1142"/>
      <c r="L36" s="1142"/>
      <c r="M36" s="1142"/>
      <c r="N36" s="1142"/>
      <c r="O36" s="1142"/>
      <c r="P36" s="1142"/>
      <c r="Q36" s="1142"/>
      <c r="R36" s="1142"/>
      <c r="S36" s="1142"/>
      <c r="T36" s="1142"/>
      <c r="U36" s="1142"/>
      <c r="V36" s="1142"/>
      <c r="W36" s="1142"/>
      <c r="X36" s="1142"/>
      <c r="Y36" s="1142"/>
      <c r="Z36" s="1142"/>
      <c r="AA36" s="1142"/>
      <c r="AB36" s="1142"/>
      <c r="AC36" s="1142"/>
      <c r="AD36" s="1142"/>
      <c r="AE36" s="1142"/>
      <c r="AF36" s="1142"/>
      <c r="AG36" s="1142"/>
      <c r="AH36" s="1142"/>
      <c r="AI36" s="1142"/>
      <c r="AJ36" s="1143"/>
      <c r="AK36" s="1142"/>
      <c r="AL36" s="1146"/>
      <c r="AM36" s="1147"/>
      <c r="AN36" s="1148"/>
      <c r="AO36" s="1149"/>
      <c r="AP36" s="1143"/>
      <c r="AQ36" s="1142"/>
      <c r="AR36" s="1142"/>
      <c r="AS36" s="1144"/>
      <c r="AT36" s="1145"/>
      <c r="AU36" s="1143"/>
      <c r="AV36" s="1135">
        <f t="shared" si="0"/>
        <v>0</v>
      </c>
      <c r="AW36" s="1136">
        <f t="shared" si="1"/>
        <v>0</v>
      </c>
      <c r="AX36" s="1142"/>
      <c r="AY36" s="1142"/>
      <c r="AZ36" s="1135"/>
      <c r="BA36" s="1139">
        <f t="shared" si="3"/>
        <v>0</v>
      </c>
    </row>
    <row r="37" spans="1:53" ht="14.25" x14ac:dyDescent="0.3">
      <c r="A37" s="1150" t="s">
        <v>365</v>
      </c>
      <c r="B37" s="1142"/>
      <c r="C37" s="1142"/>
      <c r="D37" s="1142"/>
      <c r="E37" s="1142"/>
      <c r="F37" s="1142"/>
      <c r="G37" s="1142"/>
      <c r="H37" s="1142"/>
      <c r="I37" s="1142"/>
      <c r="J37" s="1142"/>
      <c r="K37" s="1142"/>
      <c r="L37" s="1142"/>
      <c r="M37" s="1142"/>
      <c r="N37" s="1142"/>
      <c r="O37" s="1142"/>
      <c r="P37" s="1142"/>
      <c r="Q37" s="1142"/>
      <c r="R37" s="1142"/>
      <c r="S37" s="1142"/>
      <c r="T37" s="1142"/>
      <c r="U37" s="1142"/>
      <c r="V37" s="1142"/>
      <c r="W37" s="1142"/>
      <c r="X37" s="1142"/>
      <c r="Y37" s="1142"/>
      <c r="Z37" s="1142"/>
      <c r="AA37" s="1142"/>
      <c r="AB37" s="1142"/>
      <c r="AC37" s="1142"/>
      <c r="AD37" s="1142"/>
      <c r="AE37" s="1142"/>
      <c r="AF37" s="1142"/>
      <c r="AG37" s="1142"/>
      <c r="AH37" s="1142"/>
      <c r="AI37" s="1142"/>
      <c r="AJ37" s="1143"/>
      <c r="AK37" s="1142"/>
      <c r="AL37" s="1146"/>
      <c r="AM37" s="1147"/>
      <c r="AN37" s="1148"/>
      <c r="AO37" s="1149"/>
      <c r="AP37" s="1143"/>
      <c r="AQ37" s="1142"/>
      <c r="AR37" s="1142"/>
      <c r="AS37" s="1144"/>
      <c r="AT37" s="1145"/>
      <c r="AU37" s="1143"/>
      <c r="AV37" s="1135">
        <f t="shared" si="0"/>
        <v>0</v>
      </c>
      <c r="AW37" s="1136">
        <f t="shared" si="1"/>
        <v>0</v>
      </c>
      <c r="AX37" s="1142">
        <v>-516031.7</v>
      </c>
      <c r="AY37" s="1142">
        <v>-432511.41</v>
      </c>
      <c r="AZ37" s="1135"/>
      <c r="BA37" s="1139">
        <f t="shared" si="3"/>
        <v>-432511.41</v>
      </c>
    </row>
    <row r="38" spans="1:53" ht="14.25" x14ac:dyDescent="0.3">
      <c r="A38" s="1150" t="s">
        <v>366</v>
      </c>
      <c r="B38" s="1142">
        <v>26848</v>
      </c>
      <c r="C38" s="1142">
        <v>37050</v>
      </c>
      <c r="D38" s="1151">
        <v>7197</v>
      </c>
      <c r="E38" s="1151">
        <v>7539</v>
      </c>
      <c r="F38" s="1142"/>
      <c r="G38" s="1142"/>
      <c r="H38" s="1142">
        <v>45482</v>
      </c>
      <c r="I38" s="1142">
        <v>50948</v>
      </c>
      <c r="J38" s="1142">
        <v>2959</v>
      </c>
      <c r="K38" s="1142">
        <v>3683</v>
      </c>
      <c r="L38" s="1142">
        <v>661</v>
      </c>
      <c r="M38" s="1142">
        <v>1715</v>
      </c>
      <c r="N38" s="1142">
        <v>8175</v>
      </c>
      <c r="O38" s="1142">
        <v>10523</v>
      </c>
      <c r="P38" s="1142">
        <v>1735</v>
      </c>
      <c r="Q38" s="1142">
        <v>2844</v>
      </c>
      <c r="R38" s="1142">
        <v>57230</v>
      </c>
      <c r="S38" s="1142"/>
      <c r="T38" s="1142">
        <v>3408</v>
      </c>
      <c r="U38" s="1142">
        <v>6894</v>
      </c>
      <c r="V38" s="1142">
        <v>41489</v>
      </c>
      <c r="W38" s="1142">
        <v>121299</v>
      </c>
      <c r="X38" s="1142">
        <v>85074</v>
      </c>
      <c r="Y38" s="1142">
        <v>117240</v>
      </c>
      <c r="Z38" s="1142">
        <v>1254</v>
      </c>
      <c r="AA38" s="1142">
        <v>1846</v>
      </c>
      <c r="AB38" s="1142">
        <v>1919</v>
      </c>
      <c r="AC38" s="1142">
        <v>3005</v>
      </c>
      <c r="AD38" s="1142">
        <v>6718</v>
      </c>
      <c r="AE38" s="1142">
        <v>9017</v>
      </c>
      <c r="AF38" s="1142">
        <v>61456</v>
      </c>
      <c r="AG38" s="1142">
        <v>86742</v>
      </c>
      <c r="AH38" s="1142">
        <v>13825</v>
      </c>
      <c r="AI38" s="1142">
        <v>20787</v>
      </c>
      <c r="AJ38" s="1143">
        <v>7162</v>
      </c>
      <c r="AK38" s="1142">
        <v>9912</v>
      </c>
      <c r="AL38" s="1146"/>
      <c r="AM38" s="1147"/>
      <c r="AN38" s="1148">
        <v>30840</v>
      </c>
      <c r="AO38" s="1149">
        <v>36075</v>
      </c>
      <c r="AP38" s="1143">
        <v>7912</v>
      </c>
      <c r="AQ38" s="1142">
        <v>11468</v>
      </c>
      <c r="AR38" s="1142">
        <v>1304</v>
      </c>
      <c r="AS38" s="1144"/>
      <c r="AT38" s="1145">
        <f>AT32</f>
        <v>50331</v>
      </c>
      <c r="AU38" s="1143">
        <f>AU32</f>
        <v>52370</v>
      </c>
      <c r="AV38" s="1135">
        <f t="shared" si="0"/>
        <v>462979</v>
      </c>
      <c r="AW38" s="1136">
        <f t="shared" si="1"/>
        <v>590957</v>
      </c>
      <c r="AX38" s="1142">
        <v>11097414.720000001</v>
      </c>
      <c r="AY38" s="1142">
        <v>11455365.35</v>
      </c>
      <c r="AZ38" s="1135"/>
      <c r="BA38" s="1139">
        <f t="shared" si="3"/>
        <v>12046322.35</v>
      </c>
    </row>
    <row r="39" spans="1:53" ht="14.25" x14ac:dyDescent="0.3">
      <c r="A39" s="1138" t="s">
        <v>363</v>
      </c>
      <c r="B39" s="1152"/>
      <c r="C39" s="1152"/>
      <c r="D39" s="1152"/>
      <c r="E39" s="1152"/>
      <c r="F39" s="1152">
        <v>0</v>
      </c>
      <c r="G39" s="1152"/>
      <c r="H39" s="1152"/>
      <c r="I39" s="1152"/>
      <c r="J39" s="1152"/>
      <c r="K39" s="1152"/>
      <c r="L39" s="1152"/>
      <c r="M39" s="1152"/>
      <c r="N39" s="1152"/>
      <c r="O39" s="1152"/>
      <c r="P39" s="1152"/>
      <c r="Q39" s="1152"/>
      <c r="R39" s="1152"/>
      <c r="S39" s="1152"/>
      <c r="T39" s="1152"/>
      <c r="U39" s="1152"/>
      <c r="V39" s="1152"/>
      <c r="W39" s="1152"/>
      <c r="X39" s="1152"/>
      <c r="Y39" s="1152"/>
      <c r="Z39" s="1152"/>
      <c r="AA39" s="1152"/>
      <c r="AB39" s="1152"/>
      <c r="AC39" s="1152"/>
      <c r="AD39" s="1152"/>
      <c r="AE39" s="1152"/>
      <c r="AF39" s="1152"/>
      <c r="AG39" s="1152"/>
      <c r="AH39" s="1152"/>
      <c r="AI39" s="1152"/>
      <c r="AJ39" s="1153"/>
      <c r="AK39" s="1152"/>
      <c r="AL39" s="1152">
        <v>0</v>
      </c>
      <c r="AM39" s="1154"/>
      <c r="AN39" s="1153"/>
      <c r="AO39" s="1152"/>
      <c r="AP39" s="1153"/>
      <c r="AQ39" s="1152"/>
      <c r="AR39" s="1152"/>
      <c r="AT39" s="1155"/>
      <c r="AU39" s="1153"/>
      <c r="AV39" s="1135">
        <f t="shared" si="0"/>
        <v>0</v>
      </c>
      <c r="AW39" s="1136">
        <f t="shared" si="1"/>
        <v>0</v>
      </c>
      <c r="AX39" s="1152"/>
      <c r="AY39" s="1152"/>
      <c r="AZ39" s="1135"/>
      <c r="BA39" s="1139">
        <f t="shared" si="3"/>
        <v>0</v>
      </c>
    </row>
    <row r="40" spans="1:53" ht="14.25" x14ac:dyDescent="0.3">
      <c r="A40" s="1138" t="s">
        <v>364</v>
      </c>
      <c r="B40" s="1152"/>
      <c r="C40" s="1152"/>
      <c r="D40" s="1156"/>
      <c r="E40" s="1156"/>
      <c r="F40" s="1152"/>
      <c r="G40" s="1152"/>
      <c r="H40" s="1152"/>
      <c r="I40" s="1152"/>
      <c r="J40" s="1152"/>
      <c r="K40" s="1152"/>
      <c r="L40" s="1152"/>
      <c r="M40" s="1152"/>
      <c r="N40" s="1152"/>
      <c r="O40" s="1152"/>
      <c r="P40" s="1152"/>
      <c r="Q40" s="1152"/>
      <c r="R40" s="1152"/>
      <c r="S40" s="1152"/>
      <c r="T40" s="1152"/>
      <c r="U40" s="1152"/>
      <c r="V40" s="1152"/>
      <c r="W40" s="1152"/>
      <c r="X40" s="1152"/>
      <c r="Y40" s="1152"/>
      <c r="Z40" s="1152"/>
      <c r="AA40" s="1152"/>
      <c r="AB40" s="1152"/>
      <c r="AC40" s="1152"/>
      <c r="AD40" s="1152"/>
      <c r="AE40" s="1152"/>
      <c r="AF40" s="1152"/>
      <c r="AG40" s="1152"/>
      <c r="AH40" s="1152"/>
      <c r="AI40" s="1152"/>
      <c r="AJ40" s="1153"/>
      <c r="AK40" s="1152"/>
      <c r="AL40" s="1157"/>
      <c r="AN40" s="1158"/>
      <c r="AO40" s="1159"/>
      <c r="AP40" s="1153"/>
      <c r="AQ40" s="1152"/>
      <c r="AR40" s="1152"/>
      <c r="AT40" s="1155"/>
      <c r="AU40" s="1153"/>
      <c r="AV40" s="1135">
        <f t="shared" si="0"/>
        <v>0</v>
      </c>
      <c r="AW40" s="1136">
        <f t="shared" si="1"/>
        <v>0</v>
      </c>
      <c r="AX40" s="1152"/>
      <c r="AY40" s="1152"/>
      <c r="AZ40" s="1135"/>
      <c r="BA40" s="1139">
        <f t="shared" si="3"/>
        <v>0</v>
      </c>
    </row>
    <row r="41" spans="1:53" ht="15" thickBot="1" x14ac:dyDescent="0.35">
      <c r="A41" s="1150" t="s">
        <v>367</v>
      </c>
      <c r="B41" s="1152"/>
      <c r="C41" s="1152"/>
      <c r="D41" s="1156"/>
      <c r="E41" s="1156"/>
      <c r="F41" s="1152"/>
      <c r="G41" s="1152"/>
      <c r="H41" s="1152"/>
      <c r="I41" s="1152"/>
      <c r="J41" s="1152"/>
      <c r="K41" s="1152"/>
      <c r="L41" s="1152"/>
      <c r="M41" s="1152"/>
      <c r="N41" s="1152"/>
      <c r="O41" s="1152"/>
      <c r="P41" s="1152"/>
      <c r="Q41" s="1152"/>
      <c r="R41" s="1152"/>
      <c r="S41" s="1152"/>
      <c r="T41" s="1152"/>
      <c r="U41" s="1152"/>
      <c r="V41" s="1152"/>
      <c r="W41" s="1152"/>
      <c r="X41" s="1152"/>
      <c r="Y41" s="1152"/>
      <c r="Z41" s="1152"/>
      <c r="AA41" s="1152"/>
      <c r="AB41" s="1152"/>
      <c r="AC41" s="1152"/>
      <c r="AD41" s="1152"/>
      <c r="AE41" s="1152"/>
      <c r="AF41" s="1152"/>
      <c r="AG41" s="1152"/>
      <c r="AH41" s="1152"/>
      <c r="AI41" s="1152"/>
      <c r="AJ41" s="1153"/>
      <c r="AK41" s="1152"/>
      <c r="AL41" s="1157"/>
      <c r="AN41" s="1158"/>
      <c r="AO41" s="1159"/>
      <c r="AP41" s="1153"/>
      <c r="AQ41" s="1152"/>
      <c r="AR41" s="1152"/>
      <c r="AT41" s="1155"/>
      <c r="AU41" s="1153"/>
      <c r="AV41" s="1160">
        <f t="shared" si="0"/>
        <v>0</v>
      </c>
      <c r="AW41" s="1161">
        <f t="shared" si="1"/>
        <v>0</v>
      </c>
      <c r="AX41" s="1152">
        <v>-714915.41</v>
      </c>
      <c r="AY41" s="1152">
        <v>-602040.42000000004</v>
      </c>
      <c r="AZ41" s="1160"/>
      <c r="BA41" s="1139">
        <f t="shared" si="3"/>
        <v>-602040.42000000004</v>
      </c>
    </row>
    <row r="42" spans="1:53" s="1169" customFormat="1" ht="15" thickBot="1" x14ac:dyDescent="0.35">
      <c r="A42" s="1162" t="s">
        <v>54</v>
      </c>
      <c r="B42" s="1163">
        <f>B32</f>
        <v>27180</v>
      </c>
      <c r="C42" s="1163">
        <f>C25</f>
        <v>37521</v>
      </c>
      <c r="D42" s="1164">
        <f>D32</f>
        <v>7203</v>
      </c>
      <c r="E42" s="1164">
        <v>7539</v>
      </c>
      <c r="F42" s="1163">
        <f>F35+F39</f>
        <v>0</v>
      </c>
      <c r="G42" s="1163"/>
      <c r="H42" s="1163">
        <f t="shared" ref="H42:V42" si="8">H32</f>
        <v>51224</v>
      </c>
      <c r="I42" s="1163">
        <v>57927</v>
      </c>
      <c r="J42" s="1163">
        <f t="shared" si="8"/>
        <v>2959</v>
      </c>
      <c r="K42" s="1163">
        <v>3683</v>
      </c>
      <c r="L42" s="1163">
        <f t="shared" si="8"/>
        <v>661</v>
      </c>
      <c r="M42" s="1163">
        <v>1715</v>
      </c>
      <c r="N42" s="1163">
        <f t="shared" si="8"/>
        <v>8416</v>
      </c>
      <c r="O42" s="1163">
        <v>11227</v>
      </c>
      <c r="P42" s="1163">
        <f t="shared" si="8"/>
        <v>1771</v>
      </c>
      <c r="Q42" s="1163">
        <v>2933</v>
      </c>
      <c r="R42" s="1163">
        <f t="shared" si="8"/>
        <v>60539</v>
      </c>
      <c r="S42" s="1163"/>
      <c r="T42" s="1163">
        <f t="shared" si="8"/>
        <v>3409</v>
      </c>
      <c r="U42" s="1163">
        <v>6957</v>
      </c>
      <c r="V42" s="1163">
        <f t="shared" si="8"/>
        <v>59277</v>
      </c>
      <c r="W42" s="1163">
        <f>W32</f>
        <v>150933</v>
      </c>
      <c r="X42" s="1163">
        <v>86008</v>
      </c>
      <c r="Y42" s="1163">
        <f>Y32</f>
        <v>119302</v>
      </c>
      <c r="Z42" s="1163">
        <f t="shared" ref="Z42:AJ42" si="9">Z32</f>
        <v>1254</v>
      </c>
      <c r="AA42" s="1163">
        <f>AA32</f>
        <v>1846</v>
      </c>
      <c r="AB42" s="1163">
        <f t="shared" si="9"/>
        <v>2028</v>
      </c>
      <c r="AC42" s="1163">
        <v>3216</v>
      </c>
      <c r="AD42" s="1163">
        <f t="shared" si="9"/>
        <v>7385</v>
      </c>
      <c r="AE42" s="1163">
        <v>9582</v>
      </c>
      <c r="AF42" s="1163">
        <f t="shared" si="9"/>
        <v>62989</v>
      </c>
      <c r="AG42" s="1163">
        <f>AG32</f>
        <v>89122</v>
      </c>
      <c r="AH42" s="1163">
        <f t="shared" si="9"/>
        <v>14149</v>
      </c>
      <c r="AI42" s="1163">
        <f>AI32</f>
        <v>21692</v>
      </c>
      <c r="AJ42" s="1162">
        <f t="shared" si="9"/>
        <v>7530</v>
      </c>
      <c r="AK42" s="1163">
        <f>AK32</f>
        <v>10330</v>
      </c>
      <c r="AL42" s="1163">
        <f>AL35+AL39</f>
        <v>0</v>
      </c>
      <c r="AM42" s="1165"/>
      <c r="AN42" s="1162">
        <f>AN32</f>
        <v>35379</v>
      </c>
      <c r="AO42" s="1163">
        <f>AO32</f>
        <v>37649</v>
      </c>
      <c r="AP42" s="1162">
        <f>AP32</f>
        <v>8184</v>
      </c>
      <c r="AQ42" s="1163">
        <f>AQ32</f>
        <v>11758</v>
      </c>
      <c r="AR42" s="1163">
        <f>AR32</f>
        <v>1678</v>
      </c>
      <c r="AS42" s="1166"/>
      <c r="AT42" s="1166">
        <f>AT32</f>
        <v>50331</v>
      </c>
      <c r="AU42" s="1162">
        <f>AU32</f>
        <v>52370</v>
      </c>
      <c r="AV42" s="1167">
        <f t="shared" si="0"/>
        <v>499554</v>
      </c>
      <c r="AW42" s="1168">
        <f t="shared" si="1"/>
        <v>637302</v>
      </c>
      <c r="AX42" s="1163">
        <v>11006991.939999999</v>
      </c>
      <c r="AY42" s="1163">
        <v>11397534.640000001</v>
      </c>
      <c r="AZ42" s="1168">
        <f>AV42+AX42</f>
        <v>11506545.939999999</v>
      </c>
      <c r="BA42" s="1168">
        <f>AW42+AY42</f>
        <v>12034836.640000001</v>
      </c>
    </row>
  </sheetData>
  <mergeCells count="26">
    <mergeCell ref="AJ1:AK1"/>
    <mergeCell ref="Z1:AA1"/>
    <mergeCell ref="AB1:AC1"/>
    <mergeCell ref="AD1:AE1"/>
    <mergeCell ref="AF1:AG1"/>
    <mergeCell ref="AH1:AI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AA16"/>
  <sheetViews>
    <sheetView workbookViewId="0">
      <pane xSplit="1" topLeftCell="B1" activePane="topRight" state="frozen"/>
      <selection pane="topRight" activeCell="A3" sqref="A3:A4"/>
    </sheetView>
  </sheetViews>
  <sheetFormatPr defaultRowHeight="14.25" x14ac:dyDescent="0.3"/>
  <cols>
    <col min="1" max="1" width="35" style="6" customWidth="1"/>
    <col min="2" max="2" width="11.140625" style="6" bestFit="1" customWidth="1"/>
    <col min="3" max="3" width="9.140625" style="6" bestFit="1" customWidth="1"/>
    <col min="4" max="4" width="11.85546875" style="6" bestFit="1" customWidth="1"/>
    <col min="5" max="5" width="10.28515625" style="6" bestFit="1" customWidth="1"/>
    <col min="6" max="6" width="10.85546875" style="6" bestFit="1" customWidth="1"/>
    <col min="7" max="7" width="14.7109375" style="6" bestFit="1" customWidth="1"/>
    <col min="8" max="9" width="9.140625" style="6" bestFit="1" customWidth="1"/>
    <col min="10" max="10" width="9.28515625" style="6" bestFit="1" customWidth="1"/>
    <col min="11" max="11" width="13.28515625" style="6" bestFit="1" customWidth="1"/>
    <col min="12" max="12" width="9.140625" style="6" bestFit="1" customWidth="1"/>
    <col min="13" max="13" width="13.28515625" style="6" bestFit="1" customWidth="1"/>
    <col min="14" max="14" width="11.28515625" style="6" bestFit="1" customWidth="1"/>
    <col min="15" max="15" width="9.140625" style="6" bestFit="1" customWidth="1"/>
    <col min="16" max="16" width="12.7109375" style="6" bestFit="1" customWidth="1"/>
    <col min="17" max="17" width="9.28515625" style="6" bestFit="1" customWidth="1"/>
    <col min="18" max="18" width="11.85546875" style="6" bestFit="1" customWidth="1"/>
    <col min="19" max="19" width="10.28515625" style="6" bestFit="1" customWidth="1"/>
    <col min="20" max="22" width="9.28515625" style="6" bestFit="1" customWidth="1"/>
    <col min="23" max="23" width="11.42578125" style="6" bestFit="1" customWidth="1"/>
    <col min="24" max="24" width="9.140625" style="6" bestFit="1" customWidth="1"/>
    <col min="25" max="25" width="9.42578125" style="6" bestFit="1" customWidth="1"/>
    <col min="26" max="26" width="10.28515625" style="6" bestFit="1" customWidth="1"/>
    <col min="27" max="27" width="10.85546875" style="6" bestFit="1" customWidth="1"/>
    <col min="28" max="16384" width="9.140625" style="6"/>
  </cols>
  <sheetData>
    <row r="1" spans="1:27" x14ac:dyDescent="0.3">
      <c r="A1" s="990" t="s">
        <v>370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0"/>
      <c r="Y1" s="990"/>
      <c r="Z1" s="990"/>
      <c r="AA1" s="990"/>
    </row>
    <row r="2" spans="1:27" ht="15" thickBot="1" x14ac:dyDescent="0.35">
      <c r="A2" s="990" t="s">
        <v>383</v>
      </c>
      <c r="B2" s="990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990"/>
      <c r="T2" s="990"/>
      <c r="U2" s="990"/>
      <c r="V2" s="990"/>
      <c r="W2" s="990"/>
      <c r="X2" s="990"/>
      <c r="Y2" s="990"/>
      <c r="Z2" s="990"/>
      <c r="AA2" s="990"/>
    </row>
    <row r="3" spans="1:27" ht="73.5" customHeight="1" thickBot="1" x14ac:dyDescent="0.35">
      <c r="A3" s="989" t="s">
        <v>371</v>
      </c>
      <c r="B3" s="869" t="s">
        <v>113</v>
      </c>
      <c r="C3" s="868" t="s">
        <v>114</v>
      </c>
      <c r="D3" s="868" t="s">
        <v>115</v>
      </c>
      <c r="E3" s="868" t="s">
        <v>116</v>
      </c>
      <c r="F3" s="868" t="s">
        <v>117</v>
      </c>
      <c r="G3" s="868" t="s">
        <v>118</v>
      </c>
      <c r="H3" s="868" t="s">
        <v>218</v>
      </c>
      <c r="I3" s="868" t="s">
        <v>119</v>
      </c>
      <c r="J3" s="868" t="s">
        <v>120</v>
      </c>
      <c r="K3" s="868" t="s">
        <v>121</v>
      </c>
      <c r="L3" s="868" t="s">
        <v>122</v>
      </c>
      <c r="M3" s="868" t="s">
        <v>123</v>
      </c>
      <c r="N3" s="868" t="s">
        <v>223</v>
      </c>
      <c r="O3" s="868" t="s">
        <v>124</v>
      </c>
      <c r="P3" s="868" t="s">
        <v>125</v>
      </c>
      <c r="Q3" s="868" t="s">
        <v>126</v>
      </c>
      <c r="R3" s="868" t="s">
        <v>127</v>
      </c>
      <c r="S3" s="868" t="s">
        <v>128</v>
      </c>
      <c r="T3" s="868" t="s">
        <v>129</v>
      </c>
      <c r="U3" s="868" t="s">
        <v>130</v>
      </c>
      <c r="V3" s="868" t="s">
        <v>131</v>
      </c>
      <c r="W3" s="868" t="s">
        <v>132</v>
      </c>
      <c r="X3" s="868" t="s">
        <v>133</v>
      </c>
      <c r="Y3" s="870" t="s">
        <v>1</v>
      </c>
      <c r="Z3" s="868" t="s">
        <v>134</v>
      </c>
      <c r="AA3" s="871" t="s">
        <v>2</v>
      </c>
    </row>
    <row r="4" spans="1:27" s="829" customFormat="1" ht="54.75" thickBot="1" x14ac:dyDescent="0.3">
      <c r="A4" s="991"/>
      <c r="B4" s="827" t="s">
        <v>392</v>
      </c>
      <c r="C4" s="827" t="s">
        <v>392</v>
      </c>
      <c r="D4" s="827" t="s">
        <v>392</v>
      </c>
      <c r="E4" s="827" t="s">
        <v>392</v>
      </c>
      <c r="F4" s="827" t="s">
        <v>392</v>
      </c>
      <c r="G4" s="827" t="s">
        <v>392</v>
      </c>
      <c r="H4" s="827" t="s">
        <v>392</v>
      </c>
      <c r="I4" s="827" t="s">
        <v>392</v>
      </c>
      <c r="J4" s="827" t="s">
        <v>392</v>
      </c>
      <c r="K4" s="827" t="s">
        <v>392</v>
      </c>
      <c r="L4" s="827" t="s">
        <v>392</v>
      </c>
      <c r="M4" s="827" t="s">
        <v>392</v>
      </c>
      <c r="N4" s="827" t="s">
        <v>392</v>
      </c>
      <c r="O4" s="827" t="s">
        <v>392</v>
      </c>
      <c r="P4" s="827" t="s">
        <v>392</v>
      </c>
      <c r="Q4" s="827" t="s">
        <v>392</v>
      </c>
      <c r="R4" s="827" t="s">
        <v>392</v>
      </c>
      <c r="S4" s="827" t="s">
        <v>392</v>
      </c>
      <c r="T4" s="827" t="s">
        <v>392</v>
      </c>
      <c r="U4" s="827" t="s">
        <v>392</v>
      </c>
      <c r="V4" s="827" t="s">
        <v>392</v>
      </c>
      <c r="W4" s="827" t="s">
        <v>392</v>
      </c>
      <c r="X4" s="827" t="s">
        <v>392</v>
      </c>
      <c r="Y4" s="827" t="s">
        <v>392</v>
      </c>
      <c r="Z4" s="827" t="s">
        <v>392</v>
      </c>
      <c r="AA4" s="828" t="s">
        <v>392</v>
      </c>
    </row>
    <row r="5" spans="1:27" s="20" customFormat="1" x14ac:dyDescent="0.3">
      <c r="A5" s="830" t="s">
        <v>372</v>
      </c>
      <c r="B5" s="867">
        <v>6512463</v>
      </c>
      <c r="C5" s="831">
        <v>365020</v>
      </c>
      <c r="D5" s="832">
        <v>1168253</v>
      </c>
      <c r="E5" s="832">
        <v>7709815</v>
      </c>
      <c r="F5" s="832">
        <v>1235095</v>
      </c>
      <c r="G5" s="832">
        <v>2830838</v>
      </c>
      <c r="H5" s="832">
        <v>627997</v>
      </c>
      <c r="I5" s="832">
        <v>596133</v>
      </c>
      <c r="J5" s="832"/>
      <c r="K5" s="832">
        <v>672293</v>
      </c>
      <c r="L5" s="832">
        <v>21823017</v>
      </c>
      <c r="M5" s="832">
        <v>24066271</v>
      </c>
      <c r="N5" s="832">
        <v>1407156</v>
      </c>
      <c r="O5" s="833">
        <v>2041494</v>
      </c>
      <c r="P5" s="832">
        <v>5492974</v>
      </c>
      <c r="Q5" s="832">
        <v>11513808</v>
      </c>
      <c r="R5" s="832">
        <v>3624125</v>
      </c>
      <c r="S5" s="832">
        <v>2856049</v>
      </c>
      <c r="T5" s="832"/>
      <c r="U5" s="834">
        <v>28519344</v>
      </c>
      <c r="V5" s="830">
        <v>822856</v>
      </c>
      <c r="W5" s="832"/>
      <c r="X5" s="835">
        <v>6270892</v>
      </c>
      <c r="Y5" s="836">
        <f t="shared" ref="Y5:Y16" si="0">SUM(B5+C5+D5+E5+F5+G5+H5+I5+J5+K5+L5+M5+N5+O5+P5+Q5+R5+S5+T5+U5+V5+W5+X5)</f>
        <v>130155893</v>
      </c>
      <c r="Z5" s="35">
        <v>403630047</v>
      </c>
      <c r="AA5" s="835">
        <f t="shared" ref="AA5:AA16" si="1">Y5+Z5</f>
        <v>533785940</v>
      </c>
    </row>
    <row r="6" spans="1:27" s="20" customFormat="1" x14ac:dyDescent="0.3">
      <c r="A6" s="830" t="s">
        <v>373</v>
      </c>
      <c r="B6" s="837"/>
      <c r="C6" s="838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839"/>
      <c r="P6" s="753"/>
      <c r="Q6" s="753"/>
      <c r="R6" s="753"/>
      <c r="S6" s="753"/>
      <c r="T6" s="753"/>
      <c r="U6" s="840"/>
      <c r="V6" s="753"/>
      <c r="W6" s="753"/>
      <c r="X6" s="841"/>
      <c r="Y6" s="836">
        <f t="shared" si="0"/>
        <v>0</v>
      </c>
      <c r="Z6" s="842"/>
      <c r="AA6" s="835">
        <f t="shared" si="1"/>
        <v>0</v>
      </c>
    </row>
    <row r="7" spans="1:27" s="20" customFormat="1" x14ac:dyDescent="0.3">
      <c r="A7" s="830" t="s">
        <v>374</v>
      </c>
      <c r="B7" s="837">
        <v>6513125</v>
      </c>
      <c r="C7" s="843">
        <v>341503</v>
      </c>
      <c r="D7" s="844">
        <v>1143289</v>
      </c>
      <c r="E7" s="844">
        <v>7611562</v>
      </c>
      <c r="F7" s="844">
        <v>1198894</v>
      </c>
      <c r="G7" s="844">
        <v>2747970</v>
      </c>
      <c r="H7" s="844">
        <v>603360</v>
      </c>
      <c r="I7" s="844">
        <v>592821</v>
      </c>
      <c r="J7" s="844"/>
      <c r="K7" s="844">
        <v>640856</v>
      </c>
      <c r="L7" s="844">
        <v>21720016</v>
      </c>
      <c r="M7" s="844">
        <v>23505843</v>
      </c>
      <c r="N7" s="844">
        <v>1372672</v>
      </c>
      <c r="O7" s="839">
        <v>1962099</v>
      </c>
      <c r="P7" s="844">
        <v>5468874</v>
      </c>
      <c r="Q7" s="845">
        <v>11101789</v>
      </c>
      <c r="R7" s="844">
        <v>3542187</v>
      </c>
      <c r="S7" s="844">
        <v>2812732</v>
      </c>
      <c r="T7" s="844"/>
      <c r="U7" s="834">
        <v>28378312</v>
      </c>
      <c r="V7" s="830">
        <v>812694</v>
      </c>
      <c r="W7" s="753"/>
      <c r="X7" s="841">
        <v>6130944</v>
      </c>
      <c r="Y7" s="836">
        <f t="shared" si="0"/>
        <v>128201542</v>
      </c>
      <c r="Z7" s="842">
        <v>383562601</v>
      </c>
      <c r="AA7" s="835">
        <f t="shared" si="1"/>
        <v>511764143</v>
      </c>
    </row>
    <row r="8" spans="1:27" s="20" customFormat="1" x14ac:dyDescent="0.3">
      <c r="A8" s="830" t="s">
        <v>375</v>
      </c>
      <c r="B8" s="837"/>
      <c r="C8" s="838"/>
      <c r="D8" s="753">
        <v>18844</v>
      </c>
      <c r="E8" s="753"/>
      <c r="F8" s="753"/>
      <c r="G8" s="753"/>
      <c r="H8" s="753"/>
      <c r="I8" s="753"/>
      <c r="J8" s="753"/>
      <c r="K8" s="753"/>
      <c r="L8" s="753"/>
      <c r="M8" s="753">
        <v>401542</v>
      </c>
      <c r="N8" s="753"/>
      <c r="O8" s="753">
        <v>52073</v>
      </c>
      <c r="P8" s="753"/>
      <c r="Q8" s="753"/>
      <c r="R8" s="753"/>
      <c r="S8" s="753"/>
      <c r="T8" s="753"/>
      <c r="U8" s="840"/>
      <c r="V8" s="846"/>
      <c r="W8" s="753"/>
      <c r="X8" s="841"/>
      <c r="Y8" s="836">
        <f t="shared" si="0"/>
        <v>472459</v>
      </c>
      <c r="Z8" s="842">
        <v>16431</v>
      </c>
      <c r="AA8" s="835">
        <f t="shared" si="1"/>
        <v>488890</v>
      </c>
    </row>
    <row r="9" spans="1:27" s="20" customFormat="1" x14ac:dyDescent="0.3">
      <c r="A9" s="847" t="s">
        <v>376</v>
      </c>
      <c r="B9" s="848">
        <v>-662</v>
      </c>
      <c r="C9" s="838">
        <v>23517</v>
      </c>
      <c r="D9" s="753">
        <v>6120</v>
      </c>
      <c r="E9" s="753">
        <v>98253</v>
      </c>
      <c r="F9" s="753">
        <v>19036</v>
      </c>
      <c r="G9" s="753">
        <v>82868</v>
      </c>
      <c r="H9" s="753">
        <v>24637</v>
      </c>
      <c r="I9" s="753"/>
      <c r="J9" s="753"/>
      <c r="K9" s="753">
        <v>31437</v>
      </c>
      <c r="L9" s="753">
        <v>103001</v>
      </c>
      <c r="M9" s="753">
        <v>158886</v>
      </c>
      <c r="N9" s="753">
        <v>34484</v>
      </c>
      <c r="O9" s="753">
        <v>27322</v>
      </c>
      <c r="P9" s="753">
        <v>24100</v>
      </c>
      <c r="Q9" s="753">
        <v>412019</v>
      </c>
      <c r="R9" s="753">
        <v>81938</v>
      </c>
      <c r="S9" s="753">
        <v>43317</v>
      </c>
      <c r="T9" s="753"/>
      <c r="U9" s="834">
        <v>141033</v>
      </c>
      <c r="V9" s="830">
        <v>10163</v>
      </c>
      <c r="W9" s="753"/>
      <c r="X9" s="841">
        <v>139948</v>
      </c>
      <c r="Y9" s="836">
        <f t="shared" si="0"/>
        <v>1461417</v>
      </c>
      <c r="Z9" s="842">
        <v>20051015</v>
      </c>
      <c r="AA9" s="835">
        <f t="shared" si="1"/>
        <v>21512432</v>
      </c>
    </row>
    <row r="10" spans="1:27" s="20" customFormat="1" x14ac:dyDescent="0.3">
      <c r="A10" s="830" t="s">
        <v>377</v>
      </c>
      <c r="B10" s="837">
        <v>324737</v>
      </c>
      <c r="C10" s="838">
        <v>23201</v>
      </c>
      <c r="D10" s="753">
        <v>56924</v>
      </c>
      <c r="E10" s="753">
        <v>1049402</v>
      </c>
      <c r="F10" s="753">
        <v>17165</v>
      </c>
      <c r="G10" s="753">
        <v>113811</v>
      </c>
      <c r="H10" s="753">
        <v>77422</v>
      </c>
      <c r="I10" s="753">
        <v>3312</v>
      </c>
      <c r="J10" s="753"/>
      <c r="K10" s="753">
        <v>18934</v>
      </c>
      <c r="L10" s="753">
        <v>1231535</v>
      </c>
      <c r="M10" s="753">
        <v>1068900</v>
      </c>
      <c r="N10" s="753">
        <v>87772</v>
      </c>
      <c r="O10" s="839">
        <v>136960</v>
      </c>
      <c r="P10" s="753">
        <v>512237</v>
      </c>
      <c r="Q10" s="753">
        <v>329303</v>
      </c>
      <c r="R10" s="753">
        <v>184070</v>
      </c>
      <c r="S10" s="753">
        <v>144953</v>
      </c>
      <c r="T10" s="753"/>
      <c r="U10" s="834">
        <v>1229877</v>
      </c>
      <c r="V10" s="830">
        <v>64954</v>
      </c>
      <c r="W10" s="753"/>
      <c r="X10" s="841">
        <v>269590</v>
      </c>
      <c r="Y10" s="836">
        <f t="shared" si="0"/>
        <v>6945059</v>
      </c>
      <c r="Z10" s="842">
        <v>3113621</v>
      </c>
      <c r="AA10" s="835">
        <f t="shared" si="1"/>
        <v>10058680</v>
      </c>
    </row>
    <row r="11" spans="1:27" s="20" customFormat="1" x14ac:dyDescent="0.3">
      <c r="A11" s="830" t="s">
        <v>373</v>
      </c>
      <c r="B11" s="837"/>
      <c r="C11" s="838"/>
      <c r="D11" s="753"/>
      <c r="E11" s="753"/>
      <c r="F11" s="753"/>
      <c r="G11" s="753"/>
      <c r="H11" s="753"/>
      <c r="I11" s="753">
        <v>40494</v>
      </c>
      <c r="J11" s="753"/>
      <c r="K11" s="753"/>
      <c r="L11" s="753"/>
      <c r="M11" s="753"/>
      <c r="N11" s="753"/>
      <c r="O11" s="839"/>
      <c r="P11" s="753"/>
      <c r="Q11" s="753"/>
      <c r="R11" s="753"/>
      <c r="S11" s="753"/>
      <c r="T11" s="753"/>
      <c r="U11" s="840"/>
      <c r="V11" s="846"/>
      <c r="W11" s="753"/>
      <c r="X11" s="841"/>
      <c r="Y11" s="836">
        <f t="shared" si="0"/>
        <v>40494</v>
      </c>
      <c r="Z11" s="842"/>
      <c r="AA11" s="835">
        <f t="shared" si="1"/>
        <v>40494</v>
      </c>
    </row>
    <row r="12" spans="1:27" s="20" customFormat="1" x14ac:dyDescent="0.3">
      <c r="A12" s="830" t="s">
        <v>378</v>
      </c>
      <c r="B12" s="837"/>
      <c r="C12" s="838"/>
      <c r="D12" s="753">
        <v>167</v>
      </c>
      <c r="E12" s="753">
        <v>29244</v>
      </c>
      <c r="F12" s="753">
        <v>21038</v>
      </c>
      <c r="G12" s="753"/>
      <c r="H12" s="753"/>
      <c r="I12" s="753"/>
      <c r="J12" s="753"/>
      <c r="K12" s="753"/>
      <c r="L12" s="753"/>
      <c r="M12" s="753">
        <v>40143</v>
      </c>
      <c r="N12" s="753"/>
      <c r="O12" s="839">
        <v>30157</v>
      </c>
      <c r="P12" s="753"/>
      <c r="Q12" s="753"/>
      <c r="R12" s="753"/>
      <c r="S12" s="215"/>
      <c r="T12" s="215"/>
      <c r="U12" s="840"/>
      <c r="V12" s="846"/>
      <c r="W12" s="753"/>
      <c r="X12" s="841"/>
      <c r="Y12" s="836">
        <f t="shared" si="0"/>
        <v>120749</v>
      </c>
      <c r="Z12" s="842"/>
      <c r="AA12" s="835">
        <f t="shared" si="1"/>
        <v>120749</v>
      </c>
    </row>
    <row r="13" spans="1:27" s="20" customFormat="1" x14ac:dyDescent="0.3">
      <c r="A13" s="847" t="s">
        <v>379</v>
      </c>
      <c r="B13" s="848">
        <v>324737</v>
      </c>
      <c r="C13" s="838">
        <f>C10</f>
        <v>23201</v>
      </c>
      <c r="D13" s="753">
        <v>56756</v>
      </c>
      <c r="E13" s="753">
        <v>1020157</v>
      </c>
      <c r="F13" s="753">
        <v>51797</v>
      </c>
      <c r="G13" s="753">
        <v>113811</v>
      </c>
      <c r="H13" s="753">
        <v>77422</v>
      </c>
      <c r="I13" s="753">
        <v>40494</v>
      </c>
      <c r="J13" s="753"/>
      <c r="K13" s="753">
        <v>18934</v>
      </c>
      <c r="L13" s="753">
        <v>1321535</v>
      </c>
      <c r="M13" s="753">
        <v>1028757</v>
      </c>
      <c r="N13" s="753">
        <v>87772</v>
      </c>
      <c r="O13" s="839">
        <v>106802</v>
      </c>
      <c r="P13" s="753">
        <v>512237</v>
      </c>
      <c r="Q13" s="753">
        <v>329303</v>
      </c>
      <c r="R13" s="753">
        <v>184070</v>
      </c>
      <c r="S13" s="753">
        <v>144953</v>
      </c>
      <c r="T13" s="753"/>
      <c r="U13" s="834">
        <v>1229877</v>
      </c>
      <c r="V13" s="830">
        <v>64954</v>
      </c>
      <c r="W13" s="753"/>
      <c r="X13" s="841">
        <f>X10</f>
        <v>269590</v>
      </c>
      <c r="Y13" s="836">
        <f t="shared" si="0"/>
        <v>7007159</v>
      </c>
      <c r="Z13" s="842">
        <f>Z10</f>
        <v>3113621</v>
      </c>
      <c r="AA13" s="835">
        <f t="shared" si="1"/>
        <v>10120780</v>
      </c>
    </row>
    <row r="14" spans="1:27" s="20" customFormat="1" ht="15" thickBot="1" x14ac:dyDescent="0.35">
      <c r="A14" s="830" t="s">
        <v>380</v>
      </c>
      <c r="B14" s="837">
        <v>324074</v>
      </c>
      <c r="C14" s="753">
        <v>46718</v>
      </c>
      <c r="D14" s="753">
        <v>62876</v>
      </c>
      <c r="E14" s="753">
        <v>1118410</v>
      </c>
      <c r="F14" s="753">
        <v>68962</v>
      </c>
      <c r="G14" s="753">
        <v>196680</v>
      </c>
      <c r="H14" s="753">
        <v>102059</v>
      </c>
      <c r="I14" s="753">
        <v>43807</v>
      </c>
      <c r="J14" s="753"/>
      <c r="K14" s="753">
        <v>50371</v>
      </c>
      <c r="L14" s="753">
        <v>1424536</v>
      </c>
      <c r="M14" s="755">
        <v>1187643</v>
      </c>
      <c r="N14" s="753">
        <v>122257</v>
      </c>
      <c r="O14" s="753">
        <v>134125</v>
      </c>
      <c r="P14" s="753">
        <v>536337</v>
      </c>
      <c r="Q14" s="753">
        <v>741322</v>
      </c>
      <c r="R14" s="753">
        <v>266008</v>
      </c>
      <c r="S14" s="753">
        <v>188270</v>
      </c>
      <c r="T14" s="753"/>
      <c r="U14" s="753">
        <v>1370910</v>
      </c>
      <c r="V14" s="753">
        <v>75117</v>
      </c>
      <c r="W14" s="753"/>
      <c r="X14" s="753">
        <v>409537</v>
      </c>
      <c r="Y14" s="836">
        <f t="shared" si="0"/>
        <v>8470019</v>
      </c>
      <c r="Z14" s="842">
        <v>23164636</v>
      </c>
      <c r="AA14" s="835">
        <f t="shared" si="1"/>
        <v>31634655</v>
      </c>
    </row>
    <row r="15" spans="1:27" s="20" customFormat="1" ht="15" thickBot="1" x14ac:dyDescent="0.35">
      <c r="A15" s="830" t="s">
        <v>381</v>
      </c>
      <c r="B15" s="849">
        <v>174773</v>
      </c>
      <c r="C15" s="850">
        <v>14872</v>
      </c>
      <c r="D15" s="755">
        <v>33809</v>
      </c>
      <c r="E15" s="755">
        <v>211599</v>
      </c>
      <c r="F15" s="755">
        <v>42876</v>
      </c>
      <c r="G15" s="755">
        <v>73354</v>
      </c>
      <c r="H15" s="755">
        <v>24286</v>
      </c>
      <c r="I15" s="755">
        <v>19958</v>
      </c>
      <c r="J15" s="755"/>
      <c r="K15" s="755">
        <v>24494</v>
      </c>
      <c r="L15" s="755">
        <v>683062</v>
      </c>
      <c r="M15" s="910">
        <v>559716</v>
      </c>
      <c r="N15" s="755">
        <v>38531</v>
      </c>
      <c r="O15" s="851">
        <v>60297</v>
      </c>
      <c r="P15" s="755">
        <v>185992</v>
      </c>
      <c r="Q15" s="755">
        <v>370563</v>
      </c>
      <c r="R15" s="755">
        <v>137028</v>
      </c>
      <c r="S15" s="755">
        <v>80725</v>
      </c>
      <c r="T15" s="755"/>
      <c r="U15" s="834">
        <v>609686</v>
      </c>
      <c r="V15" s="830">
        <v>36917</v>
      </c>
      <c r="W15" s="755"/>
      <c r="X15" s="852">
        <v>232081</v>
      </c>
      <c r="Y15" s="853">
        <f t="shared" si="0"/>
        <v>3614619</v>
      </c>
      <c r="Z15" s="854">
        <v>12504838</v>
      </c>
      <c r="AA15" s="855">
        <f t="shared" si="1"/>
        <v>16119457</v>
      </c>
    </row>
    <row r="16" spans="1:27" s="866" customFormat="1" ht="15" thickBot="1" x14ac:dyDescent="0.35">
      <c r="A16" s="856" t="s">
        <v>382</v>
      </c>
      <c r="B16" s="857">
        <v>1.85</v>
      </c>
      <c r="C16" s="858">
        <v>3.14</v>
      </c>
      <c r="D16" s="859">
        <v>1.86</v>
      </c>
      <c r="E16" s="859">
        <v>5.29</v>
      </c>
      <c r="F16" s="859">
        <v>1.61</v>
      </c>
      <c r="G16" s="859">
        <v>2.68</v>
      </c>
      <c r="H16" s="859">
        <v>4.2</v>
      </c>
      <c r="I16" s="859">
        <v>2.19</v>
      </c>
      <c r="J16" s="859"/>
      <c r="K16" s="859">
        <v>2.06</v>
      </c>
      <c r="L16" s="859">
        <v>2.09</v>
      </c>
      <c r="M16" s="859">
        <v>2.12</v>
      </c>
      <c r="N16" s="859">
        <v>3.17</v>
      </c>
      <c r="O16" s="860">
        <v>2.2200000000000002</v>
      </c>
      <c r="P16" s="859">
        <v>2.88</v>
      </c>
      <c r="Q16" s="859">
        <v>2</v>
      </c>
      <c r="R16" s="859">
        <v>1.94</v>
      </c>
      <c r="S16" s="859">
        <v>2.33</v>
      </c>
      <c r="T16" s="859"/>
      <c r="U16" s="861">
        <v>2.25</v>
      </c>
      <c r="V16" s="859">
        <v>2.0299999999999998</v>
      </c>
      <c r="W16" s="859"/>
      <c r="X16" s="862">
        <v>1.76</v>
      </c>
      <c r="Y16" s="863">
        <f t="shared" si="0"/>
        <v>49.669999999999995</v>
      </c>
      <c r="Z16" s="864">
        <v>1.85</v>
      </c>
      <c r="AA16" s="865">
        <f t="shared" si="1"/>
        <v>51.519999999999996</v>
      </c>
    </row>
  </sheetData>
  <mergeCells count="3">
    <mergeCell ref="A1:AA1"/>
    <mergeCell ref="A2:AA2"/>
    <mergeCell ref="A3:A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BA17"/>
  <sheetViews>
    <sheetView workbookViewId="0">
      <pane xSplit="1" topLeftCell="B1" activePane="topRight" state="frozen"/>
      <selection pane="topRight" activeCell="E19" sqref="E19"/>
    </sheetView>
  </sheetViews>
  <sheetFormatPr defaultRowHeight="13.5" x14ac:dyDescent="0.25"/>
  <cols>
    <col min="1" max="1" width="23.7109375" style="57" bestFit="1" customWidth="1"/>
    <col min="2" max="53" width="15" style="57" bestFit="1" customWidth="1"/>
    <col min="54" max="16384" width="9.140625" style="57"/>
  </cols>
  <sheetData>
    <row r="1" spans="1:53" x14ac:dyDescent="0.25">
      <c r="A1" s="990" t="s">
        <v>204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0"/>
      <c r="Y1" s="990"/>
      <c r="Z1" s="990"/>
      <c r="AA1" s="990"/>
      <c r="AB1" s="990"/>
      <c r="AC1" s="990"/>
      <c r="AD1" s="990"/>
      <c r="AE1" s="990"/>
      <c r="AF1" s="990"/>
      <c r="AG1" s="990"/>
      <c r="AH1" s="990"/>
      <c r="AI1" s="990"/>
      <c r="AJ1" s="990"/>
      <c r="AK1" s="990"/>
      <c r="AL1" s="990"/>
      <c r="AM1" s="990"/>
      <c r="AN1" s="990"/>
      <c r="AO1" s="990"/>
      <c r="AP1" s="990"/>
      <c r="AQ1" s="990"/>
      <c r="AR1" s="990"/>
      <c r="AS1" s="990"/>
      <c r="AT1" s="990"/>
      <c r="AU1" s="990"/>
      <c r="AV1" s="990"/>
      <c r="AW1" s="990"/>
      <c r="AX1" s="990"/>
      <c r="AY1" s="990"/>
      <c r="AZ1" s="990"/>
    </row>
    <row r="2" spans="1:53" ht="14.25" thickBot="1" x14ac:dyDescent="0.3">
      <c r="A2" s="995" t="s">
        <v>111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5"/>
      <c r="Z2" s="995"/>
      <c r="AA2" s="995"/>
      <c r="AB2" s="995"/>
      <c r="AC2" s="995"/>
      <c r="AD2" s="995"/>
      <c r="AE2" s="995"/>
      <c r="AF2" s="995"/>
      <c r="AG2" s="995"/>
      <c r="AH2" s="995"/>
      <c r="AI2" s="995"/>
      <c r="AJ2" s="995"/>
      <c r="AK2" s="995"/>
      <c r="AL2" s="995"/>
      <c r="AM2" s="995"/>
      <c r="AN2" s="995"/>
      <c r="AO2" s="995"/>
      <c r="AP2" s="995"/>
      <c r="AQ2" s="995"/>
      <c r="AR2" s="995"/>
      <c r="AS2" s="995"/>
      <c r="AT2" s="995"/>
      <c r="AU2" s="995"/>
      <c r="AV2" s="995"/>
      <c r="AW2" s="995"/>
      <c r="AX2" s="995"/>
      <c r="AY2" s="995"/>
      <c r="AZ2" s="995"/>
    </row>
    <row r="3" spans="1:53" s="366" customFormat="1" ht="40.5" customHeight="1" thickBot="1" x14ac:dyDescent="0.3">
      <c r="A3" s="996" t="s">
        <v>0</v>
      </c>
      <c r="B3" s="998" t="s">
        <v>113</v>
      </c>
      <c r="C3" s="999"/>
      <c r="D3" s="913" t="s">
        <v>114</v>
      </c>
      <c r="E3" s="962"/>
      <c r="F3" s="913" t="s">
        <v>115</v>
      </c>
      <c r="G3" s="914"/>
      <c r="H3" s="1000" t="s">
        <v>116</v>
      </c>
      <c r="I3" s="1001"/>
      <c r="J3" s="913" t="s">
        <v>117</v>
      </c>
      <c r="K3" s="962"/>
      <c r="L3" s="913" t="s">
        <v>118</v>
      </c>
      <c r="M3" s="914"/>
      <c r="N3" s="992" t="s">
        <v>218</v>
      </c>
      <c r="O3" s="993"/>
      <c r="P3" s="992" t="s">
        <v>119</v>
      </c>
      <c r="Q3" s="993"/>
      <c r="R3" s="992" t="s">
        <v>120</v>
      </c>
      <c r="S3" s="994"/>
      <c r="T3" s="913" t="s">
        <v>121</v>
      </c>
      <c r="U3" s="914"/>
      <c r="V3" s="913" t="s">
        <v>122</v>
      </c>
      <c r="W3" s="914"/>
      <c r="X3" s="913" t="s">
        <v>123</v>
      </c>
      <c r="Y3" s="914"/>
      <c r="Z3" s="913" t="s">
        <v>223</v>
      </c>
      <c r="AA3" s="914"/>
      <c r="AB3" s="992" t="s">
        <v>124</v>
      </c>
      <c r="AC3" s="994"/>
      <c r="AD3" s="913" t="s">
        <v>125</v>
      </c>
      <c r="AE3" s="914"/>
      <c r="AF3" s="913" t="s">
        <v>126</v>
      </c>
      <c r="AG3" s="914"/>
      <c r="AH3" s="913" t="s">
        <v>127</v>
      </c>
      <c r="AI3" s="962"/>
      <c r="AJ3" s="913" t="s">
        <v>128</v>
      </c>
      <c r="AK3" s="914"/>
      <c r="AL3" s="913" t="s">
        <v>129</v>
      </c>
      <c r="AM3" s="914"/>
      <c r="AN3" s="913" t="s">
        <v>130</v>
      </c>
      <c r="AO3" s="914"/>
      <c r="AP3" s="913" t="s">
        <v>131</v>
      </c>
      <c r="AQ3" s="962"/>
      <c r="AR3" s="913" t="s">
        <v>132</v>
      </c>
      <c r="AS3" s="914"/>
      <c r="AT3" s="1000" t="s">
        <v>133</v>
      </c>
      <c r="AU3" s="1002"/>
      <c r="AV3" s="913" t="s">
        <v>1</v>
      </c>
      <c r="AW3" s="914"/>
      <c r="AX3" s="913" t="s">
        <v>134</v>
      </c>
      <c r="AY3" s="914"/>
      <c r="AZ3" s="1000" t="s">
        <v>2</v>
      </c>
      <c r="BA3" s="1002"/>
    </row>
    <row r="4" spans="1:53" s="257" customFormat="1" ht="15" thickBot="1" x14ac:dyDescent="0.35">
      <c r="A4" s="997"/>
      <c r="B4" s="318" t="s">
        <v>325</v>
      </c>
      <c r="C4" s="320" t="s">
        <v>388</v>
      </c>
      <c r="D4" s="319" t="s">
        <v>325</v>
      </c>
      <c r="E4" s="320" t="s">
        <v>388</v>
      </c>
      <c r="F4" s="319" t="s">
        <v>325</v>
      </c>
      <c r="G4" s="320" t="s">
        <v>388</v>
      </c>
      <c r="H4" s="319" t="s">
        <v>325</v>
      </c>
      <c r="I4" s="320" t="s">
        <v>388</v>
      </c>
      <c r="J4" s="318" t="s">
        <v>325</v>
      </c>
      <c r="K4" s="320" t="s">
        <v>388</v>
      </c>
      <c r="L4" s="318" t="s">
        <v>325</v>
      </c>
      <c r="M4" s="320" t="s">
        <v>388</v>
      </c>
      <c r="N4" s="319" t="s">
        <v>325</v>
      </c>
      <c r="O4" s="320" t="s">
        <v>388</v>
      </c>
      <c r="P4" s="319" t="s">
        <v>325</v>
      </c>
      <c r="Q4" s="320" t="s">
        <v>388</v>
      </c>
      <c r="R4" s="319" t="s">
        <v>325</v>
      </c>
      <c r="S4" s="320" t="s">
        <v>388</v>
      </c>
      <c r="T4" s="318" t="s">
        <v>325</v>
      </c>
      <c r="U4" s="320" t="s">
        <v>388</v>
      </c>
      <c r="V4" s="318" t="s">
        <v>325</v>
      </c>
      <c r="W4" s="320" t="s">
        <v>388</v>
      </c>
      <c r="X4" s="319" t="s">
        <v>325</v>
      </c>
      <c r="Y4" s="320" t="s">
        <v>388</v>
      </c>
      <c r="Z4" s="319" t="s">
        <v>325</v>
      </c>
      <c r="AA4" s="320" t="s">
        <v>388</v>
      </c>
      <c r="AB4" s="319" t="s">
        <v>325</v>
      </c>
      <c r="AC4" s="320" t="s">
        <v>388</v>
      </c>
      <c r="AD4" s="318" t="s">
        <v>325</v>
      </c>
      <c r="AE4" s="320" t="s">
        <v>388</v>
      </c>
      <c r="AF4" s="318" t="s">
        <v>325</v>
      </c>
      <c r="AG4" s="320" t="s">
        <v>388</v>
      </c>
      <c r="AH4" s="319" t="s">
        <v>325</v>
      </c>
      <c r="AI4" s="320" t="s">
        <v>388</v>
      </c>
      <c r="AJ4" s="319" t="s">
        <v>325</v>
      </c>
      <c r="AK4" s="320" t="s">
        <v>388</v>
      </c>
      <c r="AL4" s="319" t="s">
        <v>325</v>
      </c>
      <c r="AM4" s="320" t="s">
        <v>388</v>
      </c>
      <c r="AN4" s="318" t="s">
        <v>325</v>
      </c>
      <c r="AO4" s="320" t="s">
        <v>388</v>
      </c>
      <c r="AP4" s="318" t="s">
        <v>325</v>
      </c>
      <c r="AQ4" s="320" t="s">
        <v>388</v>
      </c>
      <c r="AR4" s="319" t="s">
        <v>325</v>
      </c>
      <c r="AS4" s="320" t="s">
        <v>388</v>
      </c>
      <c r="AT4" s="319" t="s">
        <v>325</v>
      </c>
      <c r="AU4" s="320" t="s">
        <v>388</v>
      </c>
      <c r="AV4" s="319" t="s">
        <v>325</v>
      </c>
      <c r="AW4" s="320" t="s">
        <v>388</v>
      </c>
      <c r="AX4" s="318" t="s">
        <v>325</v>
      </c>
      <c r="AY4" s="320" t="s">
        <v>388</v>
      </c>
      <c r="AZ4" s="319" t="s">
        <v>325</v>
      </c>
      <c r="BA4" s="320" t="s">
        <v>388</v>
      </c>
    </row>
    <row r="5" spans="1:53" s="22" customFormat="1" ht="15" customHeight="1" x14ac:dyDescent="0.25">
      <c r="A5" s="66" t="s">
        <v>3</v>
      </c>
      <c r="B5" s="214">
        <v>30.62</v>
      </c>
      <c r="C5" s="213">
        <v>25.91</v>
      </c>
      <c r="D5" s="210"/>
      <c r="E5" s="212"/>
      <c r="F5" s="210">
        <v>0.1</v>
      </c>
      <c r="G5" s="211">
        <v>-0.01</v>
      </c>
      <c r="H5" s="210">
        <v>7.38</v>
      </c>
      <c r="I5" s="213">
        <v>1.19</v>
      </c>
      <c r="J5" s="474"/>
      <c r="K5" s="573"/>
      <c r="L5" s="210"/>
      <c r="M5" s="211"/>
      <c r="N5" s="210"/>
      <c r="O5" s="211"/>
      <c r="P5" s="210">
        <v>2.8E-3</v>
      </c>
      <c r="Q5" s="211"/>
      <c r="R5" s="576"/>
      <c r="S5" s="822"/>
      <c r="T5" s="210">
        <v>2.0099999999999998</v>
      </c>
      <c r="U5" s="211">
        <v>1.0900000000000001</v>
      </c>
      <c r="V5" s="210">
        <v>0.47</v>
      </c>
      <c r="W5" s="211">
        <v>2.64</v>
      </c>
      <c r="X5" s="210">
        <v>11.67</v>
      </c>
      <c r="Y5" s="211">
        <v>47.99</v>
      </c>
      <c r="Z5" s="210">
        <v>0.03</v>
      </c>
      <c r="AA5" s="211">
        <v>0.01</v>
      </c>
      <c r="AB5" s="220"/>
      <c r="AC5" s="816"/>
      <c r="AD5" s="210">
        <v>0.43</v>
      </c>
      <c r="AE5" s="211">
        <v>-7.0000000000000007E-2</v>
      </c>
      <c r="AF5" s="210">
        <v>0.17</v>
      </c>
      <c r="AG5" s="213">
        <v>4.3099999999999996</v>
      </c>
      <c r="AH5" s="210">
        <v>1.23</v>
      </c>
      <c r="AI5" s="212">
        <v>0.79</v>
      </c>
      <c r="AJ5" s="210"/>
      <c r="AK5" s="211"/>
      <c r="AL5" s="210"/>
      <c r="AM5" s="211"/>
      <c r="AN5" s="486">
        <v>131.03</v>
      </c>
      <c r="AO5" s="812">
        <v>483.12</v>
      </c>
      <c r="AP5" s="210"/>
      <c r="AQ5" s="212"/>
      <c r="AR5" s="210"/>
      <c r="AS5" s="211"/>
      <c r="AT5" s="474">
        <v>2.76</v>
      </c>
      <c r="AU5" s="478">
        <v>2</v>
      </c>
      <c r="AV5" s="208">
        <f t="shared" ref="AV5:AV14" si="0">SUM(B5+D5+F5+H5+J5+L5+N5+P5+R5+T5+V5+X5+Z5+P5+AD5+AF5+AH5+AJ5+AL5+AN5+AP5+AR5+B5)</f>
        <v>215.76560000000001</v>
      </c>
      <c r="AW5" s="490">
        <f t="shared" ref="AW5:AW14" si="1">SUM(C5+E5+G5+I5+K5+M5+O5+Q5+S5+U5+W5+Y5+AA5+Q5+AE5+AG5+AI5+AK5+AM5+AO5+AQ5+AS5+C5)</f>
        <v>592.88</v>
      </c>
      <c r="AX5" s="210">
        <v>4099.12</v>
      </c>
      <c r="AY5" s="211">
        <v>5086</v>
      </c>
      <c r="AZ5" s="208">
        <f t="shared" ref="AZ5:AZ14" si="2">AV5+AX5</f>
        <v>4314.8855999999996</v>
      </c>
      <c r="BA5" s="209">
        <f t="shared" ref="BA5:BA14" si="3">AW5+AY5</f>
        <v>5678.88</v>
      </c>
    </row>
    <row r="6" spans="1:53" s="22" customFormat="1" x14ac:dyDescent="0.25">
      <c r="A6" s="66" t="s">
        <v>4</v>
      </c>
      <c r="B6" s="18">
        <v>12.28</v>
      </c>
      <c r="C6" s="213">
        <v>65.400000000000006</v>
      </c>
      <c r="D6" s="3"/>
      <c r="E6" s="5"/>
      <c r="F6" s="3">
        <v>3.52</v>
      </c>
      <c r="G6" s="211">
        <v>1.61</v>
      </c>
      <c r="H6" s="3">
        <v>829.55</v>
      </c>
      <c r="I6" s="213">
        <v>664.8</v>
      </c>
      <c r="J6" s="219">
        <v>7.89</v>
      </c>
      <c r="K6" s="227">
        <v>28.65</v>
      </c>
      <c r="L6" s="3">
        <v>233.64</v>
      </c>
      <c r="M6" s="4">
        <v>368.32</v>
      </c>
      <c r="N6" s="3"/>
      <c r="O6" s="4"/>
      <c r="P6" s="3">
        <v>6.76</v>
      </c>
      <c r="Q6" s="4">
        <v>6.25</v>
      </c>
      <c r="R6" s="3">
        <v>0.14000000000000001</v>
      </c>
      <c r="S6" s="61"/>
      <c r="T6" s="210">
        <v>16.91</v>
      </c>
      <c r="U6" s="211">
        <v>11.68</v>
      </c>
      <c r="V6" s="3">
        <v>1392.98</v>
      </c>
      <c r="W6" s="4">
        <v>2236.0500000000002</v>
      </c>
      <c r="X6" s="3">
        <v>706.38</v>
      </c>
      <c r="Y6" s="211">
        <v>873.8</v>
      </c>
      <c r="Z6" s="54">
        <v>88.41</v>
      </c>
      <c r="AA6" s="55">
        <v>163.84</v>
      </c>
      <c r="AB6" s="219">
        <v>170.06</v>
      </c>
      <c r="AC6" s="817">
        <v>252.66</v>
      </c>
      <c r="AD6" s="3">
        <v>183.55</v>
      </c>
      <c r="AE6" s="211">
        <v>375.37</v>
      </c>
      <c r="AF6" s="3">
        <v>447.26</v>
      </c>
      <c r="AG6" s="213">
        <v>415.25</v>
      </c>
      <c r="AH6" s="3">
        <v>200.7</v>
      </c>
      <c r="AI6" s="5">
        <v>300.66000000000003</v>
      </c>
      <c r="AJ6" s="3"/>
      <c r="AK6" s="4"/>
      <c r="AL6" s="65"/>
      <c r="AM6" s="4"/>
      <c r="AN6" s="487">
        <v>1967.83</v>
      </c>
      <c r="AO6" s="813">
        <v>2624.08</v>
      </c>
      <c r="AP6" s="3"/>
      <c r="AQ6" s="5"/>
      <c r="AR6" s="62">
        <v>260.8</v>
      </c>
      <c r="AS6" s="63"/>
      <c r="AT6" s="219">
        <v>2.39</v>
      </c>
      <c r="AU6" s="491">
        <v>16.27</v>
      </c>
      <c r="AV6" s="208">
        <f>SUM(B6+D6+F6+H6+J6+L6+N6+P6+R6+T6+V6+X6+Z6+P6+AD6+AF6+AH6+AJ6+AL6+AN6+AP6+AR6+B6)</f>
        <v>6377.64</v>
      </c>
      <c r="AW6" s="490">
        <f t="shared" si="1"/>
        <v>8207.41</v>
      </c>
      <c r="AX6" s="62">
        <v>1489.66</v>
      </c>
      <c r="AY6" s="211">
        <v>6555</v>
      </c>
      <c r="AZ6" s="52">
        <f t="shared" si="2"/>
        <v>7867.3</v>
      </c>
      <c r="BA6" s="60">
        <f t="shared" si="3"/>
        <v>14762.41</v>
      </c>
    </row>
    <row r="7" spans="1:53" s="22" customFormat="1" x14ac:dyDescent="0.25">
      <c r="A7" s="66" t="s">
        <v>5</v>
      </c>
      <c r="B7" s="18">
        <v>114.71</v>
      </c>
      <c r="C7" s="213">
        <v>189.59</v>
      </c>
      <c r="D7" s="3">
        <v>-0.03</v>
      </c>
      <c r="E7" s="5">
        <v>1.39</v>
      </c>
      <c r="F7" s="3"/>
      <c r="G7" s="211"/>
      <c r="H7" s="3">
        <v>40.14</v>
      </c>
      <c r="I7" s="213">
        <v>145.01</v>
      </c>
      <c r="J7" s="219">
        <v>2.4300000000000002</v>
      </c>
      <c r="K7" s="227">
        <v>0.2</v>
      </c>
      <c r="L7" s="3">
        <v>28.42</v>
      </c>
      <c r="M7" s="4">
        <v>41.05</v>
      </c>
      <c r="N7" s="3">
        <v>54.54</v>
      </c>
      <c r="O7" s="4">
        <v>172.25</v>
      </c>
      <c r="P7" s="3"/>
      <c r="Q7" s="4"/>
      <c r="R7" s="3"/>
      <c r="S7" s="61"/>
      <c r="T7" s="210">
        <v>0.12</v>
      </c>
      <c r="U7" s="211"/>
      <c r="V7" s="3">
        <v>1076.02</v>
      </c>
      <c r="W7" s="4">
        <v>1252.76</v>
      </c>
      <c r="X7" s="3">
        <v>270.12</v>
      </c>
      <c r="Y7" s="211">
        <v>403.27</v>
      </c>
      <c r="Z7" s="54"/>
      <c r="AA7" s="55"/>
      <c r="AB7" s="219"/>
      <c r="AC7" s="817">
        <v>3.59</v>
      </c>
      <c r="AD7" s="3">
        <v>191.89</v>
      </c>
      <c r="AE7" s="211">
        <v>347.73</v>
      </c>
      <c r="AF7" s="3">
        <v>4.91</v>
      </c>
      <c r="AG7" s="213">
        <v>8.4</v>
      </c>
      <c r="AH7" s="3"/>
      <c r="AI7" s="5"/>
      <c r="AJ7" s="3"/>
      <c r="AK7" s="4"/>
      <c r="AL7" s="65"/>
      <c r="AM7" s="4"/>
      <c r="AN7" s="487">
        <v>2.3199999999999998</v>
      </c>
      <c r="AO7" s="813">
        <v>0.96</v>
      </c>
      <c r="AP7" s="3">
        <v>64.3</v>
      </c>
      <c r="AQ7" s="5">
        <v>128.78</v>
      </c>
      <c r="AR7" s="62"/>
      <c r="AS7" s="63"/>
      <c r="AT7" s="219"/>
      <c r="AU7" s="491">
        <v>0.19</v>
      </c>
      <c r="AV7" s="208">
        <f>SUM(B7+D7+F7+H7+J7+L7+N7+P7+R7+T7+V7+X7+Z7+P7+AD7+AF7+AH7+AJ7+AL7+AN7+AP7+AR7+B7)</f>
        <v>1964.5999999999997</v>
      </c>
      <c r="AW7" s="490">
        <f t="shared" si="1"/>
        <v>2880.9800000000005</v>
      </c>
      <c r="AX7" s="62">
        <v>6.05</v>
      </c>
      <c r="AY7" s="211">
        <v>6.4</v>
      </c>
      <c r="AZ7" s="52">
        <f t="shared" si="2"/>
        <v>1970.6499999999996</v>
      </c>
      <c r="BA7" s="60">
        <f t="shared" si="3"/>
        <v>2887.3800000000006</v>
      </c>
    </row>
    <row r="8" spans="1:53" s="22" customFormat="1" x14ac:dyDescent="0.25">
      <c r="A8" s="66" t="s">
        <v>6</v>
      </c>
      <c r="B8" s="18">
        <v>127.19</v>
      </c>
      <c r="C8" s="213">
        <v>263.75</v>
      </c>
      <c r="D8" s="3">
        <v>4.72</v>
      </c>
      <c r="E8" s="5">
        <v>1.3</v>
      </c>
      <c r="F8" s="3">
        <v>29.03</v>
      </c>
      <c r="G8" s="211">
        <v>1.84</v>
      </c>
      <c r="H8" s="3">
        <v>82.91</v>
      </c>
      <c r="I8" s="213">
        <v>265.41000000000003</v>
      </c>
      <c r="J8" s="219">
        <v>0.41</v>
      </c>
      <c r="K8" s="227">
        <v>0.09</v>
      </c>
      <c r="L8" s="3">
        <v>2.67</v>
      </c>
      <c r="M8" s="4">
        <v>1.26</v>
      </c>
      <c r="N8" s="3">
        <v>24.12</v>
      </c>
      <c r="O8" s="4">
        <v>79.75</v>
      </c>
      <c r="P8" s="3">
        <v>0.81</v>
      </c>
      <c r="Q8" s="4">
        <v>0.13</v>
      </c>
      <c r="R8" s="3">
        <v>88.08</v>
      </c>
      <c r="S8" s="61"/>
      <c r="T8" s="210">
        <v>7.72</v>
      </c>
      <c r="U8" s="211">
        <v>15.07</v>
      </c>
      <c r="V8" s="3">
        <v>198.27</v>
      </c>
      <c r="W8" s="4">
        <v>360.42</v>
      </c>
      <c r="X8" s="3">
        <v>371.6</v>
      </c>
      <c r="Y8" s="211">
        <v>591.32000000000005</v>
      </c>
      <c r="Z8" s="54"/>
      <c r="AA8" s="55"/>
      <c r="AB8" s="219">
        <v>64.52</v>
      </c>
      <c r="AC8" s="817">
        <v>48.79</v>
      </c>
      <c r="AD8" s="3">
        <v>74.28</v>
      </c>
      <c r="AE8" s="211">
        <v>331.4</v>
      </c>
      <c r="AF8" s="3">
        <v>12.86</v>
      </c>
      <c r="AG8" s="213">
        <v>24.05</v>
      </c>
      <c r="AH8" s="3">
        <v>91.02</v>
      </c>
      <c r="AI8" s="5">
        <v>162.19</v>
      </c>
      <c r="AJ8" s="3">
        <v>0.31</v>
      </c>
      <c r="AK8" s="4">
        <v>0.15</v>
      </c>
      <c r="AL8" s="65"/>
      <c r="AM8" s="4"/>
      <c r="AN8" s="487">
        <v>66.430000000000007</v>
      </c>
      <c r="AO8" s="813">
        <v>73.33</v>
      </c>
      <c r="AP8" s="3">
        <v>33.93</v>
      </c>
      <c r="AQ8" s="5">
        <v>2.85</v>
      </c>
      <c r="AR8" s="62">
        <v>4.83</v>
      </c>
      <c r="AS8" s="63"/>
      <c r="AT8" s="219">
        <v>50.22</v>
      </c>
      <c r="AU8" s="491">
        <v>103.34</v>
      </c>
      <c r="AV8" s="208">
        <f>SUM(B8+D8+F8+H8+J8+L8+N8+P8+R8+T8+V8+X8+Z8+P8+AD8+AF8+AH8+AJ8+AL8+AN8+AP8+AR8+B8)</f>
        <v>1349.1899999999998</v>
      </c>
      <c r="AW8" s="490">
        <f t="shared" si="1"/>
        <v>2438.19</v>
      </c>
      <c r="AX8" s="62">
        <v>169.88</v>
      </c>
      <c r="AY8" s="211">
        <v>81.91</v>
      </c>
      <c r="AZ8" s="52">
        <f t="shared" si="2"/>
        <v>1519.0699999999997</v>
      </c>
      <c r="BA8" s="60">
        <f t="shared" si="3"/>
        <v>2520.1</v>
      </c>
    </row>
    <row r="9" spans="1:53" s="22" customFormat="1" x14ac:dyDescent="0.25">
      <c r="A9" s="66" t="s">
        <v>7</v>
      </c>
      <c r="B9" s="18"/>
      <c r="C9" s="213"/>
      <c r="D9" s="3"/>
      <c r="E9" s="5"/>
      <c r="F9" s="3"/>
      <c r="G9" s="211"/>
      <c r="H9" s="3">
        <v>78.19</v>
      </c>
      <c r="I9" s="213">
        <v>24.69</v>
      </c>
      <c r="J9" s="219"/>
      <c r="K9" s="227"/>
      <c r="L9" s="3"/>
      <c r="M9" s="4"/>
      <c r="N9" s="3">
        <v>2.68</v>
      </c>
      <c r="O9" s="4">
        <v>4.95</v>
      </c>
      <c r="P9" s="3"/>
      <c r="Q9" s="4"/>
      <c r="R9" s="3"/>
      <c r="S9" s="61"/>
      <c r="T9" s="210"/>
      <c r="U9" s="211"/>
      <c r="V9" s="3">
        <v>28.76</v>
      </c>
      <c r="W9" s="4">
        <v>67.14</v>
      </c>
      <c r="X9" s="3"/>
      <c r="Y9" s="211"/>
      <c r="Z9" s="54"/>
      <c r="AA9" s="55"/>
      <c r="AB9" s="219"/>
      <c r="AC9" s="817">
        <v>62.83</v>
      </c>
      <c r="AD9" s="3">
        <v>95.45</v>
      </c>
      <c r="AE9" s="211">
        <v>200</v>
      </c>
      <c r="AF9" s="3"/>
      <c r="AG9" s="213"/>
      <c r="AH9" s="3"/>
      <c r="AI9" s="5"/>
      <c r="AJ9" s="3"/>
      <c r="AK9" s="4"/>
      <c r="AL9" s="65"/>
      <c r="AM9" s="4"/>
      <c r="AN9" s="488"/>
      <c r="AO9" s="813">
        <v>0.01</v>
      </c>
      <c r="AP9" s="3"/>
      <c r="AQ9" s="5"/>
      <c r="AR9" s="62"/>
      <c r="AS9" s="63"/>
      <c r="AT9" s="219"/>
      <c r="AU9" s="491"/>
      <c r="AV9" s="208">
        <f>SUM(B9+D9+F9+H9+J9+L9+N9+P9+R9+T9+V9+X9+Z9+P9+AD9+AF9+AH9+AJ9+AL9+AN9+AP9+AR9+B9)</f>
        <v>205.08</v>
      </c>
      <c r="AW9" s="490">
        <f t="shared" si="1"/>
        <v>296.78999999999996</v>
      </c>
      <c r="AX9" s="62"/>
      <c r="AY9" s="211"/>
      <c r="AZ9" s="52">
        <f t="shared" si="2"/>
        <v>205.08</v>
      </c>
      <c r="BA9" s="60">
        <f t="shared" si="3"/>
        <v>296.78999999999996</v>
      </c>
    </row>
    <row r="10" spans="1:53" s="22" customFormat="1" x14ac:dyDescent="0.25">
      <c r="A10" s="66" t="s">
        <v>8</v>
      </c>
      <c r="B10" s="18">
        <v>1906.78</v>
      </c>
      <c r="C10" s="213">
        <v>2551.33</v>
      </c>
      <c r="D10" s="3">
        <v>1.28</v>
      </c>
      <c r="E10" s="5">
        <v>0.5</v>
      </c>
      <c r="F10" s="3">
        <v>29.23</v>
      </c>
      <c r="G10" s="211">
        <v>11.78</v>
      </c>
      <c r="H10" s="3">
        <v>2356.27</v>
      </c>
      <c r="I10" s="213">
        <v>2743.79</v>
      </c>
      <c r="J10" s="219">
        <v>106.34</v>
      </c>
      <c r="K10" s="227">
        <v>128.85</v>
      </c>
      <c r="L10" s="3">
        <v>552.53</v>
      </c>
      <c r="M10" s="4">
        <v>1242.7</v>
      </c>
      <c r="N10" s="3">
        <v>29.53</v>
      </c>
      <c r="O10" s="4">
        <v>50.32</v>
      </c>
      <c r="P10" s="3">
        <v>13.36</v>
      </c>
      <c r="Q10" s="4">
        <v>13.71</v>
      </c>
      <c r="R10" s="3">
        <v>16.82</v>
      </c>
      <c r="S10" s="61"/>
      <c r="T10" s="210">
        <v>81.58</v>
      </c>
      <c r="U10" s="211">
        <v>213.09</v>
      </c>
      <c r="V10" s="3">
        <v>6373.41</v>
      </c>
      <c r="W10" s="4">
        <v>5378.55</v>
      </c>
      <c r="X10" s="3">
        <v>2844.63</v>
      </c>
      <c r="Y10" s="211">
        <v>3979.93</v>
      </c>
      <c r="Z10" s="54">
        <v>15.5</v>
      </c>
      <c r="AA10" s="55">
        <v>1.1499999999999999</v>
      </c>
      <c r="AB10" s="219">
        <v>732.44</v>
      </c>
      <c r="AC10" s="817">
        <v>367.77</v>
      </c>
      <c r="AD10" s="821">
        <v>1268.9000000000001</v>
      </c>
      <c r="AE10" s="211">
        <v>1211.45</v>
      </c>
      <c r="AF10" s="3">
        <v>100.24</v>
      </c>
      <c r="AG10" s="213">
        <v>121.1</v>
      </c>
      <c r="AH10" s="3">
        <v>99.05</v>
      </c>
      <c r="AI10" s="5">
        <v>199.16</v>
      </c>
      <c r="AJ10" s="3">
        <v>219.82</v>
      </c>
      <c r="AK10" s="4">
        <v>71.98</v>
      </c>
      <c r="AL10" s="65"/>
      <c r="AM10" s="4"/>
      <c r="AN10" s="487">
        <v>5012.75</v>
      </c>
      <c r="AO10" s="813">
        <v>3088.86</v>
      </c>
      <c r="AP10" s="3">
        <v>149.32</v>
      </c>
      <c r="AQ10" s="5">
        <v>192.7</v>
      </c>
      <c r="AR10" s="62">
        <v>244.17</v>
      </c>
      <c r="AS10" s="63"/>
      <c r="AT10" s="219">
        <v>124.49</v>
      </c>
      <c r="AU10" s="491">
        <v>246.53</v>
      </c>
      <c r="AV10" s="208">
        <f>SUM(B10+D10+F10+H10+J10+L10+N10+P10+R10+T10+V10+X10+Z10+P10+AD10+AF10+AH10+AJ10+AL10+AN10+AP10+AR10+B10)</f>
        <v>23341.649999999994</v>
      </c>
      <c r="AW10" s="490">
        <f t="shared" si="1"/>
        <v>23765.989999999998</v>
      </c>
      <c r="AX10" s="3">
        <v>84424.44</v>
      </c>
      <c r="AY10" s="211">
        <v>125511</v>
      </c>
      <c r="AZ10" s="52">
        <f t="shared" si="2"/>
        <v>107766.09</v>
      </c>
      <c r="BA10" s="60">
        <f t="shared" si="3"/>
        <v>149276.99</v>
      </c>
    </row>
    <row r="11" spans="1:53" s="22" customFormat="1" ht="14.25" thickBot="1" x14ac:dyDescent="0.3">
      <c r="A11" s="66" t="s">
        <v>222</v>
      </c>
      <c r="B11" s="52"/>
      <c r="C11" s="603"/>
      <c r="D11" s="3"/>
      <c r="E11" s="5"/>
      <c r="F11" s="3"/>
      <c r="G11" s="4"/>
      <c r="H11" s="3"/>
      <c r="I11" s="61"/>
      <c r="J11" s="3"/>
      <c r="K11" s="5"/>
      <c r="L11" s="3"/>
      <c r="M11" s="4"/>
      <c r="N11" s="3"/>
      <c r="O11" s="4"/>
      <c r="P11" s="3"/>
      <c r="Q11" s="4"/>
      <c r="R11" s="3"/>
      <c r="S11" s="61"/>
      <c r="T11" s="3"/>
      <c r="U11" s="4"/>
      <c r="V11" s="3"/>
      <c r="W11" s="4"/>
      <c r="X11" s="3">
        <f>8.97+1.86</f>
        <v>10.83</v>
      </c>
      <c r="Y11" s="4">
        <v>19.73</v>
      </c>
      <c r="Z11" s="54"/>
      <c r="AA11" s="55"/>
      <c r="AB11" s="219"/>
      <c r="AC11" s="817"/>
      <c r="AD11" s="821"/>
      <c r="AE11" s="64"/>
      <c r="AF11" s="3"/>
      <c r="AG11" s="61"/>
      <c r="AH11" s="3"/>
      <c r="AI11" s="212"/>
      <c r="AJ11" s="3"/>
      <c r="AK11" s="4"/>
      <c r="AL11" s="65"/>
      <c r="AM11" s="4"/>
      <c r="AN11" s="489"/>
      <c r="AO11" s="814"/>
      <c r="AP11" s="3"/>
      <c r="AQ11" s="5"/>
      <c r="AR11" s="62"/>
      <c r="AS11" s="63"/>
      <c r="AT11" s="3"/>
      <c r="AU11" s="4"/>
      <c r="AV11" s="208">
        <f t="shared" si="0"/>
        <v>10.83</v>
      </c>
      <c r="AW11" s="490">
        <f t="shared" si="1"/>
        <v>19.73</v>
      </c>
      <c r="AX11" s="3"/>
      <c r="AY11" s="4"/>
      <c r="AZ11" s="52">
        <f t="shared" si="2"/>
        <v>10.83</v>
      </c>
      <c r="BA11" s="60">
        <f t="shared" si="3"/>
        <v>19.73</v>
      </c>
    </row>
    <row r="12" spans="1:53" s="266" customFormat="1" x14ac:dyDescent="0.25">
      <c r="A12" s="255" t="s">
        <v>10</v>
      </c>
      <c r="B12" s="258">
        <f>SUM(B5:B11)</f>
        <v>2191.58</v>
      </c>
      <c r="C12" s="261">
        <f t="shared" ref="C12:Q12" si="4">SUM(C5:C11)</f>
        <v>3095.98</v>
      </c>
      <c r="D12" s="258">
        <f t="shared" si="4"/>
        <v>5.97</v>
      </c>
      <c r="E12" s="260">
        <f t="shared" si="4"/>
        <v>3.19</v>
      </c>
      <c r="F12" s="258">
        <f t="shared" si="4"/>
        <v>61.879999999999995</v>
      </c>
      <c r="G12" s="259">
        <f t="shared" si="4"/>
        <v>15.219999999999999</v>
      </c>
      <c r="H12" s="258">
        <f t="shared" si="4"/>
        <v>3394.4399999999996</v>
      </c>
      <c r="I12" s="261">
        <f t="shared" si="4"/>
        <v>3844.8900000000003</v>
      </c>
      <c r="J12" s="258">
        <f t="shared" si="4"/>
        <v>117.07000000000001</v>
      </c>
      <c r="K12" s="263">
        <f t="shared" si="4"/>
        <v>157.79</v>
      </c>
      <c r="L12" s="258">
        <f t="shared" si="4"/>
        <v>817.26</v>
      </c>
      <c r="M12" s="259">
        <f t="shared" si="4"/>
        <v>1653.33</v>
      </c>
      <c r="N12" s="258">
        <f t="shared" si="4"/>
        <v>110.87</v>
      </c>
      <c r="O12" s="262">
        <f t="shared" si="4"/>
        <v>307.27</v>
      </c>
      <c r="P12" s="258">
        <f t="shared" si="4"/>
        <v>20.9328</v>
      </c>
      <c r="Q12" s="259">
        <f t="shared" si="4"/>
        <v>20.09</v>
      </c>
      <c r="R12" s="258">
        <f t="shared" ref="R12:AG12" si="5">SUM(R5:R11)</f>
        <v>105.03999999999999</v>
      </c>
      <c r="S12" s="818">
        <f t="shared" si="5"/>
        <v>0</v>
      </c>
      <c r="T12" s="258">
        <f t="shared" si="5"/>
        <v>108.34</v>
      </c>
      <c r="U12" s="259">
        <f t="shared" si="5"/>
        <v>240.93</v>
      </c>
      <c r="V12" s="258">
        <f t="shared" si="5"/>
        <v>9069.91</v>
      </c>
      <c r="W12" s="259">
        <f t="shared" si="5"/>
        <v>9297.56</v>
      </c>
      <c r="X12" s="258">
        <f t="shared" si="5"/>
        <v>4215.2299999999996</v>
      </c>
      <c r="Y12" s="259">
        <f t="shared" si="5"/>
        <v>5916.0399999999991</v>
      </c>
      <c r="Z12" s="258">
        <f t="shared" si="5"/>
        <v>103.94</v>
      </c>
      <c r="AA12" s="259">
        <f t="shared" si="5"/>
        <v>165</v>
      </c>
      <c r="AB12" s="258">
        <f t="shared" si="5"/>
        <v>967.02</v>
      </c>
      <c r="AC12" s="818">
        <f t="shared" si="5"/>
        <v>735.64</v>
      </c>
      <c r="AD12" s="258">
        <f t="shared" si="5"/>
        <v>1814.5</v>
      </c>
      <c r="AE12" s="259">
        <f t="shared" si="5"/>
        <v>2465.88</v>
      </c>
      <c r="AF12" s="258">
        <f t="shared" si="5"/>
        <v>565.44000000000005</v>
      </c>
      <c r="AG12" s="261">
        <f t="shared" si="5"/>
        <v>573.11</v>
      </c>
      <c r="AH12" s="258">
        <f>SUM(AH5:AH11)</f>
        <v>392</v>
      </c>
      <c r="AI12" s="260">
        <f>SUM(AI5:AI11)</f>
        <v>662.80000000000007</v>
      </c>
      <c r="AJ12" s="258">
        <f t="shared" ref="AJ12:AU12" si="6">SUM(AJ5:AJ11)</f>
        <v>220.13</v>
      </c>
      <c r="AK12" s="259">
        <f t="shared" si="6"/>
        <v>72.13000000000001</v>
      </c>
      <c r="AL12" s="258">
        <f t="shared" si="6"/>
        <v>0</v>
      </c>
      <c r="AM12" s="259">
        <f t="shared" si="6"/>
        <v>0</v>
      </c>
      <c r="AN12" s="264">
        <f t="shared" si="6"/>
        <v>7180.3600000000006</v>
      </c>
      <c r="AO12" s="815">
        <f t="shared" si="6"/>
        <v>6270.3600000000006</v>
      </c>
      <c r="AP12" s="258">
        <f t="shared" si="6"/>
        <v>247.54999999999998</v>
      </c>
      <c r="AQ12" s="260">
        <f t="shared" si="6"/>
        <v>324.33</v>
      </c>
      <c r="AR12" s="258">
        <f t="shared" si="6"/>
        <v>509.79999999999995</v>
      </c>
      <c r="AS12" s="259">
        <f t="shared" si="6"/>
        <v>0</v>
      </c>
      <c r="AT12" s="258">
        <f t="shared" si="6"/>
        <v>179.85999999999999</v>
      </c>
      <c r="AU12" s="262">
        <f t="shared" si="6"/>
        <v>368.33000000000004</v>
      </c>
      <c r="AV12" s="208">
        <f t="shared" si="0"/>
        <v>33464.755599999997</v>
      </c>
      <c r="AW12" s="490">
        <f t="shared" si="1"/>
        <v>38201.970000000008</v>
      </c>
      <c r="AX12" s="265">
        <f>SUM(AX5:AX11)</f>
        <v>90189.150000000009</v>
      </c>
      <c r="AY12" s="265">
        <f>SUM(AY5:AY11)</f>
        <v>137240.31</v>
      </c>
      <c r="AZ12" s="258">
        <f t="shared" si="2"/>
        <v>123653.9056</v>
      </c>
      <c r="BA12" s="263">
        <f t="shared" si="3"/>
        <v>175442.28</v>
      </c>
    </row>
    <row r="13" spans="1:53" s="22" customFormat="1" ht="14.25" thickBot="1" x14ac:dyDescent="0.3">
      <c r="A13" s="66" t="s">
        <v>11</v>
      </c>
      <c r="B13" s="537"/>
      <c r="C13" s="604"/>
      <c r="D13" s="540"/>
      <c r="E13" s="541"/>
      <c r="F13" s="540"/>
      <c r="G13" s="538"/>
      <c r="H13" s="540"/>
      <c r="I13" s="539"/>
      <c r="J13" s="571"/>
      <c r="K13" s="574"/>
      <c r="L13" s="540"/>
      <c r="M13" s="538"/>
      <c r="N13" s="540"/>
      <c r="O13" s="538"/>
      <c r="P13" s="540"/>
      <c r="Q13" s="538"/>
      <c r="R13" s="577"/>
      <c r="S13" s="823"/>
      <c r="T13" s="542"/>
      <c r="U13" s="543"/>
      <c r="V13" s="542"/>
      <c r="W13" s="543"/>
      <c r="X13" s="542"/>
      <c r="Y13" s="543"/>
      <c r="Z13" s="542"/>
      <c r="AA13" s="543"/>
      <c r="AB13" s="544"/>
      <c r="AC13" s="819"/>
      <c r="AD13" s="540"/>
      <c r="AE13" s="538"/>
      <c r="AF13" s="540"/>
      <c r="AG13" s="539"/>
      <c r="AH13" s="540"/>
      <c r="AI13" s="541"/>
      <c r="AJ13" s="540"/>
      <c r="AK13" s="538"/>
      <c r="AL13" s="545"/>
      <c r="AM13" s="538"/>
      <c r="AN13" s="379"/>
      <c r="AO13" s="56"/>
      <c r="AP13" s="540"/>
      <c r="AQ13" s="541"/>
      <c r="AR13" s="546"/>
      <c r="AS13" s="547"/>
      <c r="AT13" s="540"/>
      <c r="AU13" s="538"/>
      <c r="AV13" s="578">
        <f t="shared" si="0"/>
        <v>0</v>
      </c>
      <c r="AW13" s="548">
        <f t="shared" si="1"/>
        <v>0</v>
      </c>
      <c r="AX13" s="546"/>
      <c r="AY13" s="547"/>
      <c r="AZ13" s="549">
        <f t="shared" si="2"/>
        <v>0</v>
      </c>
      <c r="BA13" s="550">
        <f t="shared" si="3"/>
        <v>0</v>
      </c>
    </row>
    <row r="14" spans="1:53" s="266" customFormat="1" ht="14.25" thickBot="1" x14ac:dyDescent="0.3">
      <c r="A14" s="432" t="s">
        <v>12</v>
      </c>
      <c r="B14" s="280">
        <f>B12+B13</f>
        <v>2191.58</v>
      </c>
      <c r="C14" s="279">
        <f t="shared" ref="C14:AH14" si="7">C12+C13</f>
        <v>3095.98</v>
      </c>
      <c r="D14" s="280">
        <f t="shared" si="7"/>
        <v>5.97</v>
      </c>
      <c r="E14" s="281">
        <f t="shared" si="7"/>
        <v>3.19</v>
      </c>
      <c r="F14" s="280">
        <f t="shared" si="7"/>
        <v>61.879999999999995</v>
      </c>
      <c r="G14" s="278">
        <f t="shared" si="7"/>
        <v>15.219999999999999</v>
      </c>
      <c r="H14" s="280">
        <f t="shared" si="7"/>
        <v>3394.4399999999996</v>
      </c>
      <c r="I14" s="279">
        <f t="shared" si="7"/>
        <v>3844.8900000000003</v>
      </c>
      <c r="J14" s="575">
        <f t="shared" si="7"/>
        <v>117.07000000000001</v>
      </c>
      <c r="K14" s="605">
        <f t="shared" si="7"/>
        <v>157.79</v>
      </c>
      <c r="L14" s="280">
        <f t="shared" si="7"/>
        <v>817.26</v>
      </c>
      <c r="M14" s="278">
        <f t="shared" si="7"/>
        <v>1653.33</v>
      </c>
      <c r="N14" s="280">
        <f t="shared" si="7"/>
        <v>110.87</v>
      </c>
      <c r="O14" s="551">
        <f t="shared" si="7"/>
        <v>307.27</v>
      </c>
      <c r="P14" s="280">
        <f>P12+P13</f>
        <v>20.9328</v>
      </c>
      <c r="Q14" s="278">
        <f>Q12+Q13</f>
        <v>20.09</v>
      </c>
      <c r="R14" s="575">
        <f t="shared" si="7"/>
        <v>105.03999999999999</v>
      </c>
      <c r="S14" s="824">
        <f t="shared" si="7"/>
        <v>0</v>
      </c>
      <c r="T14" s="280">
        <f t="shared" si="7"/>
        <v>108.34</v>
      </c>
      <c r="U14" s="278">
        <f t="shared" si="7"/>
        <v>240.93</v>
      </c>
      <c r="V14" s="280">
        <f t="shared" si="7"/>
        <v>9069.91</v>
      </c>
      <c r="W14" s="278">
        <f t="shared" si="7"/>
        <v>9297.56</v>
      </c>
      <c r="X14" s="280">
        <f t="shared" si="7"/>
        <v>4215.2299999999996</v>
      </c>
      <c r="Y14" s="278">
        <f t="shared" si="7"/>
        <v>5916.0399999999991</v>
      </c>
      <c r="Z14" s="280">
        <f t="shared" si="7"/>
        <v>103.94</v>
      </c>
      <c r="AA14" s="278">
        <f t="shared" si="7"/>
        <v>165</v>
      </c>
      <c r="AB14" s="280">
        <f t="shared" si="7"/>
        <v>967.02</v>
      </c>
      <c r="AC14" s="820">
        <f t="shared" si="7"/>
        <v>735.64</v>
      </c>
      <c r="AD14" s="280">
        <f t="shared" si="7"/>
        <v>1814.5</v>
      </c>
      <c r="AE14" s="278">
        <f t="shared" si="7"/>
        <v>2465.88</v>
      </c>
      <c r="AF14" s="280">
        <f t="shared" si="7"/>
        <v>565.44000000000005</v>
      </c>
      <c r="AG14" s="279">
        <f t="shared" si="7"/>
        <v>573.11</v>
      </c>
      <c r="AH14" s="280">
        <f t="shared" si="7"/>
        <v>392</v>
      </c>
      <c r="AI14" s="281">
        <f t="shared" ref="AI14:AU14" si="8">AI12+AI13</f>
        <v>662.80000000000007</v>
      </c>
      <c r="AJ14" s="280">
        <f t="shared" si="8"/>
        <v>220.13</v>
      </c>
      <c r="AK14" s="278">
        <f t="shared" si="8"/>
        <v>72.13000000000001</v>
      </c>
      <c r="AL14" s="280">
        <f t="shared" si="8"/>
        <v>0</v>
      </c>
      <c r="AM14" s="278">
        <f t="shared" si="8"/>
        <v>0</v>
      </c>
      <c r="AN14" s="280">
        <f t="shared" si="8"/>
        <v>7180.3600000000006</v>
      </c>
      <c r="AO14" s="279">
        <f t="shared" si="8"/>
        <v>6270.3600000000006</v>
      </c>
      <c r="AP14" s="280">
        <f t="shared" si="8"/>
        <v>247.54999999999998</v>
      </c>
      <c r="AQ14" s="281">
        <f t="shared" si="8"/>
        <v>324.33</v>
      </c>
      <c r="AR14" s="280">
        <f t="shared" si="8"/>
        <v>509.79999999999995</v>
      </c>
      <c r="AS14" s="278">
        <f t="shared" si="8"/>
        <v>0</v>
      </c>
      <c r="AT14" s="280">
        <f t="shared" si="8"/>
        <v>179.85999999999999</v>
      </c>
      <c r="AU14" s="551">
        <f t="shared" si="8"/>
        <v>368.33000000000004</v>
      </c>
      <c r="AV14" s="579">
        <f t="shared" si="0"/>
        <v>33464.755599999997</v>
      </c>
      <c r="AW14" s="553">
        <f t="shared" si="1"/>
        <v>38201.970000000008</v>
      </c>
      <c r="AX14" s="554">
        <f>AX12+AX13</f>
        <v>90189.150000000009</v>
      </c>
      <c r="AY14" s="554">
        <f>AY12+AY13</f>
        <v>137240.31</v>
      </c>
      <c r="AZ14" s="280">
        <f t="shared" si="2"/>
        <v>123653.9056</v>
      </c>
      <c r="BA14" s="552">
        <f t="shared" si="3"/>
        <v>175442.28</v>
      </c>
    </row>
    <row r="17" spans="1:1" x14ac:dyDescent="0.25">
      <c r="A17" s="643"/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BA14"/>
  <sheetViews>
    <sheetView workbookViewId="0">
      <pane xSplit="1" topLeftCell="B1" activePane="topRight" state="frozen"/>
      <selection pane="topRight" sqref="A1:XFD1048576"/>
    </sheetView>
  </sheetViews>
  <sheetFormatPr defaultRowHeight="14.25" x14ac:dyDescent="0.3"/>
  <cols>
    <col min="1" max="1" width="23.7109375" style="6" bestFit="1" customWidth="1"/>
    <col min="2" max="15" width="15" style="6" bestFit="1" customWidth="1"/>
    <col min="16" max="17" width="15" style="20" bestFit="1" customWidth="1"/>
    <col min="18" max="25" width="15" style="6" bestFit="1" customWidth="1"/>
    <col min="26" max="27" width="15" style="20" bestFit="1" customWidth="1"/>
    <col min="28" max="53" width="15" style="6" bestFit="1" customWidth="1"/>
    <col min="54" max="16384" width="9.140625" style="6"/>
  </cols>
  <sheetData>
    <row r="1" spans="1:53" x14ac:dyDescent="0.3">
      <c r="A1" s="990" t="s">
        <v>13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0"/>
      <c r="Y1" s="990"/>
      <c r="Z1" s="990"/>
      <c r="AA1" s="990"/>
      <c r="AB1" s="990"/>
      <c r="AC1" s="990"/>
      <c r="AD1" s="990"/>
      <c r="AE1" s="990"/>
      <c r="AF1" s="990"/>
      <c r="AG1" s="990"/>
      <c r="AH1" s="990"/>
      <c r="AI1" s="990"/>
      <c r="AJ1" s="990"/>
      <c r="AK1" s="990"/>
      <c r="AL1" s="990"/>
      <c r="AM1" s="990"/>
      <c r="AN1" s="990"/>
      <c r="AO1" s="990"/>
      <c r="AP1" s="990"/>
      <c r="AQ1" s="990"/>
      <c r="AR1" s="990"/>
      <c r="AS1" s="990"/>
      <c r="AT1" s="990"/>
      <c r="AU1" s="990"/>
      <c r="AV1" s="990"/>
      <c r="AW1" s="990"/>
      <c r="AX1" s="990"/>
      <c r="AY1" s="990"/>
      <c r="AZ1" s="990"/>
    </row>
    <row r="2" spans="1:53" ht="15" thickBot="1" x14ac:dyDescent="0.35">
      <c r="A2" s="982"/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  <c r="AK2" s="982"/>
      <c r="AL2" s="982"/>
      <c r="AM2" s="982"/>
      <c r="AN2" s="982"/>
      <c r="AO2" s="982"/>
      <c r="AP2" s="982"/>
      <c r="AQ2" s="982"/>
      <c r="AR2" s="982"/>
      <c r="AS2" s="982"/>
      <c r="AT2" s="982"/>
      <c r="AU2" s="982"/>
      <c r="AV2" s="982"/>
      <c r="AW2" s="982"/>
      <c r="AX2" s="982"/>
      <c r="AY2" s="982"/>
      <c r="AZ2" s="982"/>
    </row>
    <row r="3" spans="1:53" ht="27" customHeight="1" thickBot="1" x14ac:dyDescent="0.35">
      <c r="A3" s="996" t="s">
        <v>0</v>
      </c>
      <c r="B3" s="1009" t="s">
        <v>113</v>
      </c>
      <c r="C3" s="1010"/>
      <c r="D3" s="1011" t="s">
        <v>114</v>
      </c>
      <c r="E3" s="1011"/>
      <c r="F3" s="1012" t="s">
        <v>115</v>
      </c>
      <c r="G3" s="1011"/>
      <c r="H3" s="1003" t="s">
        <v>116</v>
      </c>
      <c r="I3" s="1004"/>
      <c r="J3" s="1003" t="s">
        <v>117</v>
      </c>
      <c r="K3" s="1004"/>
      <c r="L3" s="1003" t="s">
        <v>118</v>
      </c>
      <c r="M3" s="1004"/>
      <c r="N3" s="1003" t="s">
        <v>218</v>
      </c>
      <c r="O3" s="1004"/>
      <c r="P3" s="1013" t="s">
        <v>119</v>
      </c>
      <c r="Q3" s="1008"/>
      <c r="R3" s="1003" t="s">
        <v>120</v>
      </c>
      <c r="S3" s="1006"/>
      <c r="T3" s="1014" t="s">
        <v>121</v>
      </c>
      <c r="U3" s="1005"/>
      <c r="V3" s="1003" t="s">
        <v>122</v>
      </c>
      <c r="W3" s="1006"/>
      <c r="X3" s="1003" t="s">
        <v>123</v>
      </c>
      <c r="Y3" s="1006"/>
      <c r="Z3" s="1007" t="s">
        <v>223</v>
      </c>
      <c r="AA3" s="1008"/>
      <c r="AB3" s="1003" t="s">
        <v>124</v>
      </c>
      <c r="AC3" s="1005"/>
      <c r="AD3" s="1003" t="s">
        <v>125</v>
      </c>
      <c r="AE3" s="1006"/>
      <c r="AF3" s="1003" t="s">
        <v>126</v>
      </c>
      <c r="AG3" s="1006"/>
      <c r="AH3" s="1003" t="s">
        <v>127</v>
      </c>
      <c r="AI3" s="1006"/>
      <c r="AJ3" s="1003" t="s">
        <v>128</v>
      </c>
      <c r="AK3" s="1006"/>
      <c r="AL3" s="1014" t="s">
        <v>129</v>
      </c>
      <c r="AM3" s="1005"/>
      <c r="AN3" s="1003" t="s">
        <v>130</v>
      </c>
      <c r="AO3" s="1006"/>
      <c r="AP3" s="1014" t="s">
        <v>131</v>
      </c>
      <c r="AQ3" s="1005"/>
      <c r="AR3" s="1003" t="s">
        <v>132</v>
      </c>
      <c r="AS3" s="1006"/>
      <c r="AT3" s="1014" t="s">
        <v>133</v>
      </c>
      <c r="AU3" s="1004"/>
      <c r="AV3" s="1003" t="s">
        <v>1</v>
      </c>
      <c r="AW3" s="1005"/>
      <c r="AX3" s="1003" t="s">
        <v>134</v>
      </c>
      <c r="AY3" s="1006"/>
      <c r="AZ3" s="1014" t="s">
        <v>2</v>
      </c>
      <c r="BA3" s="1004"/>
    </row>
    <row r="4" spans="1:53" s="256" customFormat="1" ht="15" thickBot="1" x14ac:dyDescent="0.35">
      <c r="A4" s="997"/>
      <c r="B4" s="319" t="s">
        <v>325</v>
      </c>
      <c r="C4" s="319" t="s">
        <v>388</v>
      </c>
      <c r="D4" s="318" t="s">
        <v>325</v>
      </c>
      <c r="E4" s="319" t="s">
        <v>388</v>
      </c>
      <c r="F4" s="319" t="s">
        <v>325</v>
      </c>
      <c r="G4" s="319" t="s">
        <v>388</v>
      </c>
      <c r="H4" s="319" t="s">
        <v>325</v>
      </c>
      <c r="I4" s="319" t="s">
        <v>388</v>
      </c>
      <c r="J4" s="319" t="s">
        <v>325</v>
      </c>
      <c r="K4" s="319" t="s">
        <v>388</v>
      </c>
      <c r="L4" s="319" t="s">
        <v>325</v>
      </c>
      <c r="M4" s="319" t="s">
        <v>388</v>
      </c>
      <c r="N4" s="318" t="s">
        <v>325</v>
      </c>
      <c r="O4" s="319" t="s">
        <v>388</v>
      </c>
      <c r="P4" s="319" t="s">
        <v>325</v>
      </c>
      <c r="Q4" s="319" t="s">
        <v>388</v>
      </c>
      <c r="R4" s="319" t="s">
        <v>325</v>
      </c>
      <c r="S4" s="319" t="s">
        <v>388</v>
      </c>
      <c r="T4" s="319" t="s">
        <v>325</v>
      </c>
      <c r="U4" s="319" t="s">
        <v>388</v>
      </c>
      <c r="V4" s="319" t="s">
        <v>325</v>
      </c>
      <c r="W4" s="319" t="s">
        <v>388</v>
      </c>
      <c r="X4" s="318" t="s">
        <v>325</v>
      </c>
      <c r="Y4" s="319" t="s">
        <v>388</v>
      </c>
      <c r="Z4" s="319" t="s">
        <v>325</v>
      </c>
      <c r="AA4" s="319" t="s">
        <v>388</v>
      </c>
      <c r="AB4" s="319" t="s">
        <v>325</v>
      </c>
      <c r="AC4" s="319" t="s">
        <v>388</v>
      </c>
      <c r="AD4" s="319" t="s">
        <v>325</v>
      </c>
      <c r="AE4" s="319" t="s">
        <v>388</v>
      </c>
      <c r="AF4" s="319" t="s">
        <v>325</v>
      </c>
      <c r="AG4" s="319" t="s">
        <v>388</v>
      </c>
      <c r="AH4" s="318" t="s">
        <v>325</v>
      </c>
      <c r="AI4" s="319" t="s">
        <v>388</v>
      </c>
      <c r="AJ4" s="319" t="s">
        <v>325</v>
      </c>
      <c r="AK4" s="319" t="s">
        <v>388</v>
      </c>
      <c r="AL4" s="319" t="s">
        <v>325</v>
      </c>
      <c r="AM4" s="319" t="s">
        <v>388</v>
      </c>
      <c r="AN4" s="319" t="s">
        <v>325</v>
      </c>
      <c r="AO4" s="319" t="s">
        <v>388</v>
      </c>
      <c r="AP4" s="319" t="s">
        <v>325</v>
      </c>
      <c r="AQ4" s="319" t="s">
        <v>388</v>
      </c>
      <c r="AR4" s="318" t="s">
        <v>325</v>
      </c>
      <c r="AS4" s="319" t="s">
        <v>388</v>
      </c>
      <c r="AT4" s="319" t="s">
        <v>325</v>
      </c>
      <c r="AU4" s="319" t="s">
        <v>388</v>
      </c>
      <c r="AV4" s="319" t="s">
        <v>325</v>
      </c>
      <c r="AW4" s="319" t="s">
        <v>388</v>
      </c>
      <c r="AX4" s="319" t="s">
        <v>325</v>
      </c>
      <c r="AY4" s="319" t="s">
        <v>388</v>
      </c>
      <c r="AZ4" s="318" t="s">
        <v>325</v>
      </c>
      <c r="BA4" s="320" t="s">
        <v>388</v>
      </c>
    </row>
    <row r="5" spans="1:53" s="427" customFormat="1" ht="13.5" x14ac:dyDescent="0.25">
      <c r="A5" s="226" t="s">
        <v>3</v>
      </c>
      <c r="B5" s="316">
        <v>7845</v>
      </c>
      <c r="C5" s="315">
        <v>45465</v>
      </c>
      <c r="D5" s="313"/>
      <c r="E5" s="314"/>
      <c r="F5" s="316">
        <v>1889</v>
      </c>
      <c r="G5" s="314">
        <v>743</v>
      </c>
      <c r="H5" s="316">
        <v>3905</v>
      </c>
      <c r="I5" s="314">
        <v>1162</v>
      </c>
      <c r="J5" s="316"/>
      <c r="K5" s="314"/>
      <c r="L5" s="316"/>
      <c r="M5" s="314"/>
      <c r="N5" s="316"/>
      <c r="O5" s="314"/>
      <c r="P5" s="316">
        <v>38</v>
      </c>
      <c r="Q5" s="314"/>
      <c r="R5" s="316"/>
      <c r="S5" s="315"/>
      <c r="T5" s="313">
        <v>380</v>
      </c>
      <c r="U5" s="431">
        <v>9</v>
      </c>
      <c r="V5" s="316">
        <v>517</v>
      </c>
      <c r="W5" s="315">
        <v>3230</v>
      </c>
      <c r="X5" s="316">
        <v>40913</v>
      </c>
      <c r="Y5" s="315">
        <v>54069</v>
      </c>
      <c r="Z5" s="313">
        <v>3306</v>
      </c>
      <c r="AA5" s="314">
        <v>366</v>
      </c>
      <c r="AB5" s="222"/>
      <c r="AC5" s="606"/>
      <c r="AD5" s="316">
        <v>857</v>
      </c>
      <c r="AE5" s="315">
        <v>-524</v>
      </c>
      <c r="AF5" s="316">
        <v>194</v>
      </c>
      <c r="AG5" s="315">
        <v>1501</v>
      </c>
      <c r="AH5" s="316">
        <v>1087</v>
      </c>
      <c r="AI5" s="315">
        <v>1140</v>
      </c>
      <c r="AJ5" s="316"/>
      <c r="AK5" s="315"/>
      <c r="AL5" s="313"/>
      <c r="AM5" s="431"/>
      <c r="AN5" s="608">
        <v>18109</v>
      </c>
      <c r="AO5" s="426">
        <v>143877</v>
      </c>
      <c r="AP5" s="313"/>
      <c r="AQ5" s="431"/>
      <c r="AR5" s="316"/>
      <c r="AS5" s="315"/>
      <c r="AT5" s="313">
        <v>7998</v>
      </c>
      <c r="AU5" s="314">
        <v>6956</v>
      </c>
      <c r="AV5" s="316">
        <f t="shared" ref="AV5:AV14" si="0">SUM(B5+D5+F5+H5+J5+L5+N5+P5+R5+T5+V5+X5+Z5+P5+AD5+AF5+AH5+AJ5+AL5+AN5+AP5+AR5+AT5)</f>
        <v>87076</v>
      </c>
      <c r="AW5" s="566">
        <f t="shared" ref="AW5:AW14" si="1">SUM(C5+E5+G5+I5+K5+M5+O5+Q5+S5+U5+W5+Y5+AA5+Q5+AE5+AG5+AI5+AK5+AM5+AO5+AQ5+AS5+AU5)</f>
        <v>257994</v>
      </c>
      <c r="AX5" s="316">
        <v>962115</v>
      </c>
      <c r="AY5" s="315">
        <v>1081871</v>
      </c>
      <c r="AZ5" s="313">
        <f t="shared" ref="AZ5:AZ14" si="2">AV5+AX5</f>
        <v>1049191</v>
      </c>
      <c r="BA5" s="313">
        <f t="shared" ref="BA5:BA14" si="3">AW5+AY5</f>
        <v>1339865</v>
      </c>
    </row>
    <row r="6" spans="1:53" s="427" customFormat="1" ht="13.5" x14ac:dyDescent="0.25">
      <c r="A6" s="226" t="s">
        <v>4</v>
      </c>
      <c r="B6" s="8">
        <v>51448</v>
      </c>
      <c r="C6" s="315">
        <v>320685</v>
      </c>
      <c r="D6" s="19"/>
      <c r="E6" s="16"/>
      <c r="F6" s="17">
        <v>15383</v>
      </c>
      <c r="G6" s="314">
        <v>12540</v>
      </c>
      <c r="H6" s="17">
        <v>8129034</v>
      </c>
      <c r="I6" s="314">
        <v>7981332</v>
      </c>
      <c r="J6" s="17">
        <v>62352</v>
      </c>
      <c r="K6" s="16">
        <v>287463</v>
      </c>
      <c r="L6" s="17">
        <v>3685620</v>
      </c>
      <c r="M6" s="16">
        <v>5579327</v>
      </c>
      <c r="N6" s="17">
        <v>1</v>
      </c>
      <c r="O6" s="16"/>
      <c r="P6" s="17">
        <v>232879</v>
      </c>
      <c r="Q6" s="314">
        <v>174085</v>
      </c>
      <c r="R6" s="17">
        <v>247</v>
      </c>
      <c r="S6" s="315"/>
      <c r="T6" s="19">
        <v>6607</v>
      </c>
      <c r="U6" s="431">
        <v>3519</v>
      </c>
      <c r="V6" s="17">
        <v>16440351</v>
      </c>
      <c r="W6" s="315">
        <v>20346279</v>
      </c>
      <c r="X6" s="17">
        <v>1019253</v>
      </c>
      <c r="Y6" s="315">
        <v>2424130</v>
      </c>
      <c r="Z6" s="428">
        <v>14582</v>
      </c>
      <c r="AA6" s="314">
        <v>21774</v>
      </c>
      <c r="AB6" s="17">
        <v>238061</v>
      </c>
      <c r="AC6" s="492">
        <v>107525</v>
      </c>
      <c r="AD6" s="17">
        <v>3225008</v>
      </c>
      <c r="AE6" s="315">
        <v>2508493</v>
      </c>
      <c r="AF6" s="17">
        <v>1714854</v>
      </c>
      <c r="AG6" s="315">
        <v>2299142</v>
      </c>
      <c r="AH6" s="17">
        <v>159672</v>
      </c>
      <c r="AI6" s="315">
        <v>538848</v>
      </c>
      <c r="AJ6" s="17"/>
      <c r="AK6" s="315"/>
      <c r="AL6" s="429"/>
      <c r="AM6" s="492"/>
      <c r="AN6" s="609">
        <v>450150</v>
      </c>
      <c r="AO6" s="426">
        <v>747231</v>
      </c>
      <c r="AP6" s="19"/>
      <c r="AQ6" s="492"/>
      <c r="AR6" s="612">
        <v>4213662</v>
      </c>
      <c r="AS6" s="315"/>
      <c r="AT6" s="19">
        <v>3017</v>
      </c>
      <c r="AU6" s="314">
        <v>12578</v>
      </c>
      <c r="AV6" s="8">
        <f t="shared" si="0"/>
        <v>39656999</v>
      </c>
      <c r="AW6" s="615">
        <f t="shared" si="1"/>
        <v>43431511</v>
      </c>
      <c r="AX6" s="612">
        <v>58440</v>
      </c>
      <c r="AY6" s="315">
        <v>28156</v>
      </c>
      <c r="AZ6" s="9">
        <f t="shared" si="2"/>
        <v>39715439</v>
      </c>
      <c r="BA6" s="9">
        <f t="shared" si="3"/>
        <v>43459667</v>
      </c>
    </row>
    <row r="7" spans="1:53" s="427" customFormat="1" ht="13.5" x14ac:dyDescent="0.25">
      <c r="A7" s="226" t="s">
        <v>5</v>
      </c>
      <c r="B7" s="8">
        <v>686195</v>
      </c>
      <c r="C7" s="315">
        <v>1240125</v>
      </c>
      <c r="D7" s="19">
        <v>3758</v>
      </c>
      <c r="E7" s="16">
        <v>7405</v>
      </c>
      <c r="F7" s="17"/>
      <c r="G7" s="314"/>
      <c r="H7" s="17">
        <v>108820</v>
      </c>
      <c r="I7" s="314">
        <v>834631</v>
      </c>
      <c r="J7" s="17">
        <v>474</v>
      </c>
      <c r="K7" s="16">
        <v>58</v>
      </c>
      <c r="L7" s="17">
        <v>12348</v>
      </c>
      <c r="M7" s="16">
        <v>11943</v>
      </c>
      <c r="N7" s="17">
        <v>20901</v>
      </c>
      <c r="O7" s="16">
        <v>141207</v>
      </c>
      <c r="P7" s="17"/>
      <c r="Q7" s="314"/>
      <c r="R7" s="17">
        <v>2</v>
      </c>
      <c r="S7" s="315"/>
      <c r="T7" s="19">
        <v>42</v>
      </c>
      <c r="U7" s="431"/>
      <c r="V7" s="17">
        <v>3070352</v>
      </c>
      <c r="W7" s="315">
        <v>5073011</v>
      </c>
      <c r="X7" s="17">
        <v>1452517</v>
      </c>
      <c r="Y7" s="315">
        <v>1661473</v>
      </c>
      <c r="Z7" s="428"/>
      <c r="AA7" s="314"/>
      <c r="AB7" s="17"/>
      <c r="AC7" s="492">
        <v>34420</v>
      </c>
      <c r="AD7" s="17">
        <v>2289254</v>
      </c>
      <c r="AE7" s="315">
        <v>3159860</v>
      </c>
      <c r="AF7" s="17">
        <v>10861</v>
      </c>
      <c r="AG7" s="315">
        <v>14345</v>
      </c>
      <c r="AH7" s="17">
        <v>12867</v>
      </c>
      <c r="AI7" s="315">
        <v>28100</v>
      </c>
      <c r="AJ7" s="17"/>
      <c r="AK7" s="315"/>
      <c r="AL7" s="429"/>
      <c r="AM7" s="492"/>
      <c r="AN7" s="609">
        <v>4428</v>
      </c>
      <c r="AO7" s="426">
        <v>2089</v>
      </c>
      <c r="AP7" s="19">
        <v>478140</v>
      </c>
      <c r="AQ7" s="492">
        <v>1034618</v>
      </c>
      <c r="AR7" s="612"/>
      <c r="AS7" s="315"/>
      <c r="AT7" s="19"/>
      <c r="AU7" s="314">
        <v>427</v>
      </c>
      <c r="AV7" s="8">
        <f t="shared" si="0"/>
        <v>8150959</v>
      </c>
      <c r="AW7" s="615">
        <f t="shared" si="1"/>
        <v>13209292</v>
      </c>
      <c r="AX7" s="612">
        <v>382786</v>
      </c>
      <c r="AY7" s="315">
        <v>645280</v>
      </c>
      <c r="AZ7" s="9">
        <f t="shared" si="2"/>
        <v>8533745</v>
      </c>
      <c r="BA7" s="9">
        <f t="shared" si="3"/>
        <v>13854572</v>
      </c>
    </row>
    <row r="8" spans="1:53" s="427" customFormat="1" ht="13.5" x14ac:dyDescent="0.25">
      <c r="A8" s="226" t="s">
        <v>6</v>
      </c>
      <c r="B8" s="8">
        <v>418773</v>
      </c>
      <c r="C8" s="315">
        <v>604518</v>
      </c>
      <c r="D8" s="19">
        <v>39643</v>
      </c>
      <c r="E8" s="16">
        <v>8951</v>
      </c>
      <c r="F8" s="17">
        <v>146211</v>
      </c>
      <c r="G8" s="314">
        <v>31830</v>
      </c>
      <c r="H8" s="17">
        <v>185879</v>
      </c>
      <c r="I8" s="314">
        <v>1406681</v>
      </c>
      <c r="J8" s="17">
        <v>642</v>
      </c>
      <c r="K8" s="16">
        <v>64</v>
      </c>
      <c r="L8" s="17">
        <v>93877</v>
      </c>
      <c r="M8" s="16">
        <v>4787</v>
      </c>
      <c r="N8" s="17">
        <v>79426</v>
      </c>
      <c r="O8" s="16">
        <v>798162</v>
      </c>
      <c r="P8" s="17">
        <v>9042</v>
      </c>
      <c r="Q8" s="314">
        <v>267</v>
      </c>
      <c r="R8" s="17">
        <v>823018</v>
      </c>
      <c r="S8" s="315"/>
      <c r="T8" s="19">
        <v>24034</v>
      </c>
      <c r="U8" s="431">
        <v>34561</v>
      </c>
      <c r="V8" s="17">
        <v>2788947</v>
      </c>
      <c r="W8" s="315">
        <v>3532030</v>
      </c>
      <c r="X8" s="17">
        <v>1599343</v>
      </c>
      <c r="Y8" s="315">
        <v>2585191</v>
      </c>
      <c r="Z8" s="428"/>
      <c r="AA8" s="314"/>
      <c r="AB8" s="17">
        <v>693372</v>
      </c>
      <c r="AC8" s="492">
        <v>827861</v>
      </c>
      <c r="AD8" s="17">
        <v>570980</v>
      </c>
      <c r="AE8" s="315">
        <v>1817321</v>
      </c>
      <c r="AF8" s="17">
        <v>59276</v>
      </c>
      <c r="AG8" s="315">
        <v>64620</v>
      </c>
      <c r="AH8" s="17">
        <v>971977</v>
      </c>
      <c r="AI8" s="315">
        <v>1033885</v>
      </c>
      <c r="AJ8" s="17">
        <v>29953</v>
      </c>
      <c r="AK8" s="315">
        <v>30473</v>
      </c>
      <c r="AL8" s="429"/>
      <c r="AM8" s="492"/>
      <c r="AN8" s="609">
        <v>448413</v>
      </c>
      <c r="AO8" s="426">
        <v>532537</v>
      </c>
      <c r="AP8" s="19">
        <v>160462</v>
      </c>
      <c r="AQ8" s="492">
        <v>37683</v>
      </c>
      <c r="AR8" s="612">
        <v>27114</v>
      </c>
      <c r="AS8" s="315"/>
      <c r="AT8" s="19">
        <v>452868</v>
      </c>
      <c r="AU8" s="314">
        <v>709172</v>
      </c>
      <c r="AV8" s="8">
        <f t="shared" si="0"/>
        <v>8938920</v>
      </c>
      <c r="AW8" s="615">
        <f t="shared" si="1"/>
        <v>13233000</v>
      </c>
      <c r="AX8" s="612">
        <v>366101</v>
      </c>
      <c r="AY8" s="315">
        <v>374907</v>
      </c>
      <c r="AZ8" s="9">
        <f t="shared" si="2"/>
        <v>9305021</v>
      </c>
      <c r="BA8" s="9">
        <f t="shared" si="3"/>
        <v>13607907</v>
      </c>
    </row>
    <row r="9" spans="1:53" s="427" customFormat="1" ht="13.5" x14ac:dyDescent="0.25">
      <c r="A9" s="226" t="s">
        <v>7</v>
      </c>
      <c r="B9" s="8"/>
      <c r="C9" s="315"/>
      <c r="D9" s="19"/>
      <c r="E9" s="16"/>
      <c r="F9" s="17"/>
      <c r="G9" s="314"/>
      <c r="H9" s="17">
        <v>1243359</v>
      </c>
      <c r="I9" s="314">
        <v>429804</v>
      </c>
      <c r="J9" s="17"/>
      <c r="K9" s="16"/>
      <c r="L9" s="17"/>
      <c r="M9" s="16"/>
      <c r="N9" s="17">
        <v>70486</v>
      </c>
      <c r="O9" s="16">
        <v>91424</v>
      </c>
      <c r="P9" s="17"/>
      <c r="Q9" s="314"/>
      <c r="R9" s="17"/>
      <c r="S9" s="315"/>
      <c r="T9" s="19"/>
      <c r="U9" s="431"/>
      <c r="V9" s="17">
        <v>423182</v>
      </c>
      <c r="W9" s="315">
        <v>938568</v>
      </c>
      <c r="X9" s="17"/>
      <c r="Y9" s="315"/>
      <c r="Z9" s="428"/>
      <c r="AA9" s="314"/>
      <c r="AB9" s="17"/>
      <c r="AC9" s="492">
        <v>831986</v>
      </c>
      <c r="AD9" s="17">
        <v>2286668</v>
      </c>
      <c r="AE9" s="315">
        <v>3222331</v>
      </c>
      <c r="AF9" s="17"/>
      <c r="AG9" s="315"/>
      <c r="AH9" s="17"/>
      <c r="AI9" s="315"/>
      <c r="AJ9" s="17"/>
      <c r="AK9" s="315"/>
      <c r="AL9" s="429"/>
      <c r="AM9" s="492"/>
      <c r="AN9" s="609"/>
      <c r="AO9" s="426">
        <v>115</v>
      </c>
      <c r="AP9" s="19"/>
      <c r="AQ9" s="492"/>
      <c r="AR9" s="612"/>
      <c r="AS9" s="315"/>
      <c r="AT9" s="19"/>
      <c r="AU9" s="314"/>
      <c r="AV9" s="8">
        <f t="shared" si="0"/>
        <v>4023695</v>
      </c>
      <c r="AW9" s="615">
        <f t="shared" si="1"/>
        <v>4682242</v>
      </c>
      <c r="AX9" s="612"/>
      <c r="AY9" s="315"/>
      <c r="AZ9" s="9">
        <f t="shared" si="2"/>
        <v>4023695</v>
      </c>
      <c r="BA9" s="9">
        <f t="shared" si="3"/>
        <v>4682242</v>
      </c>
    </row>
    <row r="10" spans="1:53" s="427" customFormat="1" ht="13.5" x14ac:dyDescent="0.25">
      <c r="A10" s="226" t="s">
        <v>8</v>
      </c>
      <c r="B10" s="8">
        <v>247058</v>
      </c>
      <c r="C10" s="315">
        <v>1832724</v>
      </c>
      <c r="D10" s="19">
        <v>9925</v>
      </c>
      <c r="E10" s="16">
        <v>7548</v>
      </c>
      <c r="F10" s="17">
        <v>45592</v>
      </c>
      <c r="G10" s="314">
        <v>7243</v>
      </c>
      <c r="H10" s="17">
        <v>10240829</v>
      </c>
      <c r="I10" s="314">
        <v>9010818</v>
      </c>
      <c r="J10" s="17">
        <v>223491</v>
      </c>
      <c r="K10" s="16">
        <v>25463</v>
      </c>
      <c r="L10" s="17">
        <v>41117</v>
      </c>
      <c r="M10" s="16">
        <v>10292</v>
      </c>
      <c r="N10" s="17">
        <v>601185</v>
      </c>
      <c r="O10" s="16">
        <v>141708</v>
      </c>
      <c r="P10" s="17">
        <v>20519</v>
      </c>
      <c r="Q10" s="314">
        <v>4215</v>
      </c>
      <c r="R10" s="17">
        <v>-146648</v>
      </c>
      <c r="S10" s="315"/>
      <c r="T10" s="19">
        <v>37629</v>
      </c>
      <c r="U10" s="431">
        <v>49775</v>
      </c>
      <c r="V10" s="17">
        <v>11445464</v>
      </c>
      <c r="W10" s="315">
        <v>14765896</v>
      </c>
      <c r="X10" s="17">
        <v>16061421</v>
      </c>
      <c r="Y10" s="315">
        <v>26214348</v>
      </c>
      <c r="Z10" s="428">
        <v>2158</v>
      </c>
      <c r="AA10" s="314">
        <v>329</v>
      </c>
      <c r="AB10" s="17">
        <v>3479252</v>
      </c>
      <c r="AC10" s="492">
        <v>4141490</v>
      </c>
      <c r="AD10" s="564">
        <v>5410668</v>
      </c>
      <c r="AE10" s="315">
        <v>5688681</v>
      </c>
      <c r="AF10" s="17">
        <v>791099</v>
      </c>
      <c r="AG10" s="315">
        <v>310144</v>
      </c>
      <c r="AH10" s="17">
        <v>674663</v>
      </c>
      <c r="AI10" s="315">
        <v>311069</v>
      </c>
      <c r="AJ10" s="17">
        <v>150818</v>
      </c>
      <c r="AK10" s="315">
        <v>268203</v>
      </c>
      <c r="AL10" s="429"/>
      <c r="AM10" s="492"/>
      <c r="AN10" s="609">
        <v>6524684</v>
      </c>
      <c r="AO10" s="426">
        <v>9676735</v>
      </c>
      <c r="AP10" s="19">
        <v>2435158</v>
      </c>
      <c r="AQ10" s="492">
        <v>2437636</v>
      </c>
      <c r="AR10" s="612">
        <v>101504</v>
      </c>
      <c r="AS10" s="315"/>
      <c r="AT10" s="19">
        <v>229910</v>
      </c>
      <c r="AU10" s="314">
        <v>299610</v>
      </c>
      <c r="AV10" s="8">
        <f t="shared" si="0"/>
        <v>55168763</v>
      </c>
      <c r="AW10" s="615">
        <f t="shared" si="1"/>
        <v>71066652</v>
      </c>
      <c r="AX10" s="17">
        <v>14952682</v>
      </c>
      <c r="AY10" s="315">
        <v>17220479</v>
      </c>
      <c r="AZ10" s="9">
        <f t="shared" si="2"/>
        <v>70121445</v>
      </c>
      <c r="BA10" s="9">
        <f t="shared" si="3"/>
        <v>88287131</v>
      </c>
    </row>
    <row r="11" spans="1:53" s="427" customFormat="1" thickBot="1" x14ac:dyDescent="0.3">
      <c r="A11" s="226" t="s">
        <v>9</v>
      </c>
      <c r="B11" s="408"/>
      <c r="C11" s="453"/>
      <c r="D11" s="410"/>
      <c r="E11" s="455"/>
      <c r="F11" s="413"/>
      <c r="G11" s="455"/>
      <c r="H11" s="413"/>
      <c r="I11" s="455"/>
      <c r="J11" s="413"/>
      <c r="K11" s="455"/>
      <c r="L11" s="413"/>
      <c r="M11" s="16"/>
      <c r="N11" s="413"/>
      <c r="O11" s="16"/>
      <c r="P11" s="413"/>
      <c r="Q11" s="314"/>
      <c r="R11" s="413"/>
      <c r="S11" s="315"/>
      <c r="T11" s="410"/>
      <c r="U11" s="431"/>
      <c r="V11" s="413"/>
      <c r="W11" s="315"/>
      <c r="X11" s="413">
        <f>4984+2672+204272</f>
        <v>211928</v>
      </c>
      <c r="Y11" s="315">
        <v>635446</v>
      </c>
      <c r="Z11" s="457"/>
      <c r="AA11" s="314"/>
      <c r="AB11" s="413"/>
      <c r="AC11" s="494"/>
      <c r="AD11" s="565"/>
      <c r="AE11" s="411"/>
      <c r="AF11" s="413"/>
      <c r="AG11" s="315"/>
      <c r="AH11" s="413"/>
      <c r="AI11" s="315"/>
      <c r="AJ11" s="413"/>
      <c r="AK11" s="456"/>
      <c r="AL11" s="458"/>
      <c r="AM11" s="494"/>
      <c r="AN11" s="610"/>
      <c r="AO11" s="459"/>
      <c r="AP11" s="410"/>
      <c r="AQ11" s="494"/>
      <c r="AR11" s="613"/>
      <c r="AS11" s="460"/>
      <c r="AT11" s="410"/>
      <c r="AU11" s="455"/>
      <c r="AV11" s="408">
        <f t="shared" si="0"/>
        <v>211928</v>
      </c>
      <c r="AW11" s="616">
        <f t="shared" si="1"/>
        <v>635446</v>
      </c>
      <c r="AX11" s="413"/>
      <c r="AY11" s="315"/>
      <c r="AZ11" s="412">
        <f t="shared" si="2"/>
        <v>211928</v>
      </c>
      <c r="BA11" s="412">
        <f t="shared" si="3"/>
        <v>635446</v>
      </c>
    </row>
    <row r="12" spans="1:53" s="256" customFormat="1" ht="15" thickBot="1" x14ac:dyDescent="0.35">
      <c r="A12" s="432" t="s">
        <v>10</v>
      </c>
      <c r="B12" s="397">
        <f>SUM(B5:B11)</f>
        <v>1411319</v>
      </c>
      <c r="C12" s="400">
        <f t="shared" ref="C12:AH12" si="4">SUM(C5:C11)</f>
        <v>4043517</v>
      </c>
      <c r="D12" s="401">
        <f t="shared" si="4"/>
        <v>53326</v>
      </c>
      <c r="E12" s="399">
        <f t="shared" si="4"/>
        <v>23904</v>
      </c>
      <c r="F12" s="397">
        <f t="shared" si="4"/>
        <v>209075</v>
      </c>
      <c r="G12" s="399">
        <f t="shared" si="4"/>
        <v>52356</v>
      </c>
      <c r="H12" s="397">
        <f t="shared" si="4"/>
        <v>19911826</v>
      </c>
      <c r="I12" s="399">
        <f t="shared" si="4"/>
        <v>19664428</v>
      </c>
      <c r="J12" s="397">
        <f t="shared" si="4"/>
        <v>286959</v>
      </c>
      <c r="K12" s="399">
        <f t="shared" si="4"/>
        <v>313048</v>
      </c>
      <c r="L12" s="397">
        <f t="shared" si="4"/>
        <v>3832962</v>
      </c>
      <c r="M12" s="399">
        <f t="shared" si="4"/>
        <v>5606349</v>
      </c>
      <c r="N12" s="397">
        <f t="shared" si="4"/>
        <v>771999</v>
      </c>
      <c r="O12" s="399">
        <f t="shared" si="4"/>
        <v>1172501</v>
      </c>
      <c r="P12" s="397">
        <f>SUM(P5:P11)</f>
        <v>262478</v>
      </c>
      <c r="Q12" s="399">
        <f>SUM(Q5:Q11)</f>
        <v>178567</v>
      </c>
      <c r="R12" s="397">
        <f t="shared" si="4"/>
        <v>676619</v>
      </c>
      <c r="S12" s="400">
        <f t="shared" si="4"/>
        <v>0</v>
      </c>
      <c r="T12" s="401">
        <f t="shared" si="4"/>
        <v>68692</v>
      </c>
      <c r="U12" s="454">
        <f t="shared" si="4"/>
        <v>87864</v>
      </c>
      <c r="V12" s="397">
        <f t="shared" si="4"/>
        <v>34168813</v>
      </c>
      <c r="W12" s="400">
        <f t="shared" si="4"/>
        <v>44659014</v>
      </c>
      <c r="X12" s="397">
        <f t="shared" si="4"/>
        <v>20385375</v>
      </c>
      <c r="Y12" s="400">
        <f t="shared" si="4"/>
        <v>33574657</v>
      </c>
      <c r="Z12" s="401">
        <f t="shared" si="4"/>
        <v>20046</v>
      </c>
      <c r="AA12" s="399">
        <f t="shared" si="4"/>
        <v>22469</v>
      </c>
      <c r="AB12" s="397">
        <f t="shared" si="4"/>
        <v>4410685</v>
      </c>
      <c r="AC12" s="454">
        <f t="shared" si="4"/>
        <v>5943282</v>
      </c>
      <c r="AD12" s="397">
        <f t="shared" si="4"/>
        <v>13783435</v>
      </c>
      <c r="AE12" s="400">
        <f t="shared" si="4"/>
        <v>16396162</v>
      </c>
      <c r="AF12" s="397">
        <f t="shared" si="4"/>
        <v>2576284</v>
      </c>
      <c r="AG12" s="400">
        <f t="shared" si="4"/>
        <v>2689752</v>
      </c>
      <c r="AH12" s="397">
        <f t="shared" si="4"/>
        <v>1820266</v>
      </c>
      <c r="AI12" s="400">
        <f t="shared" ref="AI12:AU12" si="5">SUM(AI5:AI11)</f>
        <v>1913042</v>
      </c>
      <c r="AJ12" s="397">
        <f t="shared" si="5"/>
        <v>180771</v>
      </c>
      <c r="AK12" s="400">
        <f t="shared" si="5"/>
        <v>298676</v>
      </c>
      <c r="AL12" s="401">
        <f t="shared" si="5"/>
        <v>0</v>
      </c>
      <c r="AM12" s="454">
        <f t="shared" si="5"/>
        <v>0</v>
      </c>
      <c r="AN12" s="397">
        <f t="shared" si="5"/>
        <v>7445784</v>
      </c>
      <c r="AO12" s="400">
        <f t="shared" si="5"/>
        <v>11102584</v>
      </c>
      <c r="AP12" s="401">
        <f t="shared" si="5"/>
        <v>3073760</v>
      </c>
      <c r="AQ12" s="454">
        <f t="shared" si="5"/>
        <v>3509937</v>
      </c>
      <c r="AR12" s="397">
        <f t="shared" si="5"/>
        <v>4342280</v>
      </c>
      <c r="AS12" s="400">
        <f t="shared" si="5"/>
        <v>0</v>
      </c>
      <c r="AT12" s="401">
        <f t="shared" si="5"/>
        <v>693793</v>
      </c>
      <c r="AU12" s="399">
        <f t="shared" si="5"/>
        <v>1028743</v>
      </c>
      <c r="AV12" s="397">
        <f t="shared" si="0"/>
        <v>116238340</v>
      </c>
      <c r="AW12" s="617">
        <f t="shared" si="1"/>
        <v>146516137</v>
      </c>
      <c r="AX12" s="405">
        <f>SUM(AX5:AX11)</f>
        <v>16722124</v>
      </c>
      <c r="AY12" s="406">
        <f>SUM(AY5:AY11)</f>
        <v>19350693</v>
      </c>
      <c r="AZ12" s="401">
        <f t="shared" si="2"/>
        <v>132960464</v>
      </c>
      <c r="BA12" s="401">
        <f t="shared" si="3"/>
        <v>165866830</v>
      </c>
    </row>
    <row r="13" spans="1:53" ht="15" thickBot="1" x14ac:dyDescent="0.35">
      <c r="A13" s="221" t="s">
        <v>11</v>
      </c>
      <c r="B13" s="461"/>
      <c r="C13" s="462"/>
      <c r="D13" s="463"/>
      <c r="E13" s="464"/>
      <c r="F13" s="493"/>
      <c r="G13" s="464"/>
      <c r="H13" s="493"/>
      <c r="I13" s="464"/>
      <c r="J13" s="496"/>
      <c r="K13" s="466"/>
      <c r="L13" s="493"/>
      <c r="M13" s="464"/>
      <c r="N13" s="493"/>
      <c r="O13" s="464"/>
      <c r="P13" s="493"/>
      <c r="Q13" s="464"/>
      <c r="R13" s="493"/>
      <c r="S13" s="465"/>
      <c r="T13" s="463"/>
      <c r="U13" s="467"/>
      <c r="V13" s="493"/>
      <c r="W13" s="465"/>
      <c r="X13" s="493"/>
      <c r="Y13" s="465"/>
      <c r="Z13" s="463"/>
      <c r="AA13" s="464"/>
      <c r="AB13" s="468"/>
      <c r="AC13" s="607"/>
      <c r="AD13" s="493"/>
      <c r="AE13" s="465"/>
      <c r="AF13" s="493"/>
      <c r="AG13" s="465"/>
      <c r="AH13" s="493"/>
      <c r="AI13" s="465"/>
      <c r="AJ13" s="493"/>
      <c r="AK13" s="465"/>
      <c r="AL13" s="469"/>
      <c r="AM13" s="495"/>
      <c r="AN13" s="611"/>
      <c r="AO13" s="470"/>
      <c r="AP13" s="463"/>
      <c r="AQ13" s="467"/>
      <c r="AR13" s="614"/>
      <c r="AS13" s="471">
        <v>0</v>
      </c>
      <c r="AT13" s="463"/>
      <c r="AU13" s="464"/>
      <c r="AV13" s="461">
        <f t="shared" si="0"/>
        <v>0</v>
      </c>
      <c r="AW13" s="618">
        <f t="shared" si="1"/>
        <v>0</v>
      </c>
      <c r="AX13" s="614"/>
      <c r="AY13" s="471"/>
      <c r="AZ13" s="472">
        <f t="shared" si="2"/>
        <v>0</v>
      </c>
      <c r="BA13" s="472">
        <f t="shared" si="3"/>
        <v>0</v>
      </c>
    </row>
    <row r="14" spans="1:53" s="266" customFormat="1" thickBot="1" x14ac:dyDescent="0.3">
      <c r="A14" s="432" t="s">
        <v>12</v>
      </c>
      <c r="B14" s="397">
        <f>B12+B13</f>
        <v>1411319</v>
      </c>
      <c r="C14" s="400">
        <f t="shared" ref="C14:AH14" si="6">C12+C13</f>
        <v>4043517</v>
      </c>
      <c r="D14" s="401">
        <f t="shared" si="6"/>
        <v>53326</v>
      </c>
      <c r="E14" s="399">
        <f t="shared" si="6"/>
        <v>23904</v>
      </c>
      <c r="F14" s="397">
        <f t="shared" si="6"/>
        <v>209075</v>
      </c>
      <c r="G14" s="399">
        <f t="shared" si="6"/>
        <v>52356</v>
      </c>
      <c r="H14" s="397">
        <f t="shared" si="6"/>
        <v>19911826</v>
      </c>
      <c r="I14" s="399">
        <f t="shared" si="6"/>
        <v>19664428</v>
      </c>
      <c r="J14" s="397">
        <f t="shared" si="6"/>
        <v>286959</v>
      </c>
      <c r="K14" s="399">
        <f t="shared" si="6"/>
        <v>313048</v>
      </c>
      <c r="L14" s="397">
        <f t="shared" si="6"/>
        <v>3832962</v>
      </c>
      <c r="M14" s="399">
        <f t="shared" si="6"/>
        <v>5606349</v>
      </c>
      <c r="N14" s="397">
        <f t="shared" si="6"/>
        <v>771999</v>
      </c>
      <c r="O14" s="399">
        <f t="shared" si="6"/>
        <v>1172501</v>
      </c>
      <c r="P14" s="397">
        <f>P12+P13</f>
        <v>262478</v>
      </c>
      <c r="Q14" s="399">
        <f>Q12+Q13</f>
        <v>178567</v>
      </c>
      <c r="R14" s="397">
        <f t="shared" si="6"/>
        <v>676619</v>
      </c>
      <c r="S14" s="400">
        <f t="shared" si="6"/>
        <v>0</v>
      </c>
      <c r="T14" s="401">
        <f t="shared" si="6"/>
        <v>68692</v>
      </c>
      <c r="U14" s="454">
        <f t="shared" si="6"/>
        <v>87864</v>
      </c>
      <c r="V14" s="397">
        <f t="shared" si="6"/>
        <v>34168813</v>
      </c>
      <c r="W14" s="400">
        <f t="shared" si="6"/>
        <v>44659014</v>
      </c>
      <c r="X14" s="397">
        <f t="shared" si="6"/>
        <v>20385375</v>
      </c>
      <c r="Y14" s="400">
        <f t="shared" si="6"/>
        <v>33574657</v>
      </c>
      <c r="Z14" s="401">
        <f t="shared" si="6"/>
        <v>20046</v>
      </c>
      <c r="AA14" s="399">
        <f t="shared" si="6"/>
        <v>22469</v>
      </c>
      <c r="AB14" s="397">
        <f t="shared" si="6"/>
        <v>4410685</v>
      </c>
      <c r="AC14" s="454">
        <f t="shared" si="6"/>
        <v>5943282</v>
      </c>
      <c r="AD14" s="397">
        <f t="shared" si="6"/>
        <v>13783435</v>
      </c>
      <c r="AE14" s="400">
        <f t="shared" si="6"/>
        <v>16396162</v>
      </c>
      <c r="AF14" s="397">
        <f t="shared" si="6"/>
        <v>2576284</v>
      </c>
      <c r="AG14" s="400">
        <f t="shared" si="6"/>
        <v>2689752</v>
      </c>
      <c r="AH14" s="397">
        <f t="shared" si="6"/>
        <v>1820266</v>
      </c>
      <c r="AI14" s="400">
        <f t="shared" ref="AI14:AU14" si="7">AI12+AI13</f>
        <v>1913042</v>
      </c>
      <c r="AJ14" s="397">
        <f t="shared" si="7"/>
        <v>180771</v>
      </c>
      <c r="AK14" s="400">
        <f t="shared" si="7"/>
        <v>298676</v>
      </c>
      <c r="AL14" s="401">
        <f t="shared" si="7"/>
        <v>0</v>
      </c>
      <c r="AM14" s="454">
        <f t="shared" si="7"/>
        <v>0</v>
      </c>
      <c r="AN14" s="397">
        <f t="shared" si="7"/>
        <v>7445784</v>
      </c>
      <c r="AO14" s="400">
        <f t="shared" si="7"/>
        <v>11102584</v>
      </c>
      <c r="AP14" s="401">
        <f t="shared" si="7"/>
        <v>3073760</v>
      </c>
      <c r="AQ14" s="454">
        <f t="shared" si="7"/>
        <v>3509937</v>
      </c>
      <c r="AR14" s="397">
        <f t="shared" si="7"/>
        <v>4342280</v>
      </c>
      <c r="AS14" s="400">
        <f t="shared" si="7"/>
        <v>0</v>
      </c>
      <c r="AT14" s="401">
        <f t="shared" si="7"/>
        <v>693793</v>
      </c>
      <c r="AU14" s="399">
        <f t="shared" si="7"/>
        <v>1028743</v>
      </c>
      <c r="AV14" s="397">
        <f t="shared" si="0"/>
        <v>116238340</v>
      </c>
      <c r="AW14" s="617">
        <f t="shared" si="1"/>
        <v>146516137</v>
      </c>
      <c r="AX14" s="678">
        <f>AX12+AX13</f>
        <v>16722124</v>
      </c>
      <c r="AY14" s="679">
        <f>AY12+AY13</f>
        <v>19350693</v>
      </c>
      <c r="AZ14" s="401">
        <f t="shared" si="2"/>
        <v>132960464</v>
      </c>
      <c r="BA14" s="401">
        <f t="shared" si="3"/>
        <v>165866830</v>
      </c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BE21"/>
  <sheetViews>
    <sheetView topLeftCell="A3" workbookViewId="0">
      <pane xSplit="1" topLeftCell="B1" activePane="topRight" state="frozen"/>
      <selection pane="topRight" activeCell="A3" sqref="A1:XFD1048576"/>
    </sheetView>
  </sheetViews>
  <sheetFormatPr defaultRowHeight="16.5" x14ac:dyDescent="0.3"/>
  <cols>
    <col min="1" max="1" width="23.140625" style="41" bestFit="1" customWidth="1"/>
    <col min="2" max="53" width="15" style="41" bestFit="1" customWidth="1"/>
    <col min="54" max="16384" width="9.140625" style="41"/>
  </cols>
  <sheetData>
    <row r="1" spans="1:57" ht="18" customHeight="1" x14ac:dyDescent="0.35">
      <c r="A1" s="981" t="s">
        <v>205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981"/>
      <c r="R1" s="981"/>
      <c r="S1" s="981"/>
      <c r="T1" s="981"/>
      <c r="U1" s="981"/>
      <c r="V1" s="981"/>
      <c r="W1" s="981"/>
      <c r="X1" s="981"/>
      <c r="Y1" s="981"/>
      <c r="Z1" s="981"/>
      <c r="AA1" s="981"/>
      <c r="AB1" s="981"/>
      <c r="AC1" s="981"/>
      <c r="AD1" s="981"/>
      <c r="AE1" s="981"/>
      <c r="AF1" s="981"/>
      <c r="AG1" s="981"/>
      <c r="AH1" s="981"/>
      <c r="AI1" s="981"/>
      <c r="AJ1" s="981"/>
      <c r="AK1" s="981"/>
      <c r="AL1" s="981"/>
      <c r="AM1" s="981"/>
      <c r="AN1" s="981"/>
      <c r="AO1" s="981"/>
      <c r="AP1" s="981"/>
      <c r="AQ1" s="981"/>
      <c r="AR1" s="981"/>
      <c r="AS1" s="981"/>
      <c r="AT1" s="981"/>
      <c r="AU1" s="981"/>
      <c r="AV1" s="981"/>
      <c r="AW1" s="981"/>
      <c r="AX1" s="981"/>
      <c r="AY1" s="981"/>
      <c r="AZ1" s="981"/>
    </row>
    <row r="2" spans="1:57" s="367" customFormat="1" ht="18" thickBot="1" x14ac:dyDescent="0.4">
      <c r="A2" s="1020" t="s">
        <v>111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  <c r="N2" s="1020"/>
      <c r="O2" s="1020"/>
      <c r="P2" s="1020"/>
      <c r="Q2" s="1020"/>
      <c r="R2" s="1020"/>
      <c r="S2" s="1020"/>
      <c r="T2" s="1020"/>
      <c r="U2" s="1020"/>
      <c r="V2" s="1020"/>
      <c r="W2" s="1020"/>
      <c r="X2" s="1020"/>
      <c r="Y2" s="1020"/>
      <c r="Z2" s="1020"/>
      <c r="AA2" s="1020"/>
      <c r="AB2" s="1020"/>
      <c r="AC2" s="1020"/>
      <c r="AD2" s="1020"/>
      <c r="AE2" s="1020"/>
      <c r="AF2" s="1020"/>
      <c r="AG2" s="1020"/>
      <c r="AH2" s="1020"/>
      <c r="AI2" s="1020"/>
      <c r="AJ2" s="1020"/>
      <c r="AK2" s="1020"/>
      <c r="AL2" s="1020"/>
      <c r="AM2" s="1020"/>
      <c r="AN2" s="1020"/>
      <c r="AO2" s="1020"/>
      <c r="AP2" s="1020"/>
      <c r="AQ2" s="1020"/>
      <c r="AR2" s="1020"/>
      <c r="AS2" s="1020"/>
      <c r="AT2" s="1020"/>
      <c r="AU2" s="1020"/>
      <c r="AV2" s="1020"/>
      <c r="AW2" s="1020"/>
      <c r="AX2" s="1020"/>
      <c r="AY2" s="1020"/>
      <c r="AZ2" s="1020"/>
    </row>
    <row r="3" spans="1:57" s="452" customFormat="1" ht="28.5" customHeight="1" thickBot="1" x14ac:dyDescent="0.35">
      <c r="A3" s="1021" t="s">
        <v>14</v>
      </c>
      <c r="B3" s="1015" t="s">
        <v>113</v>
      </c>
      <c r="C3" s="1016"/>
      <c r="D3" s="1015" t="s">
        <v>114</v>
      </c>
      <c r="E3" s="1016"/>
      <c r="F3" s="1015" t="s">
        <v>115</v>
      </c>
      <c r="G3" s="1016"/>
      <c r="H3" s="1015" t="s">
        <v>116</v>
      </c>
      <c r="I3" s="1023"/>
      <c r="J3" s="1015" t="s">
        <v>117</v>
      </c>
      <c r="K3" s="1016"/>
      <c r="L3" s="1017" t="s">
        <v>118</v>
      </c>
      <c r="M3" s="1018"/>
      <c r="N3" s="1017" t="s">
        <v>218</v>
      </c>
      <c r="O3" s="1018"/>
      <c r="P3" s="1017" t="s">
        <v>119</v>
      </c>
      <c r="Q3" s="1018"/>
      <c r="R3" s="1017" t="s">
        <v>120</v>
      </c>
      <c r="S3" s="1018"/>
      <c r="T3" s="1017" t="s">
        <v>121</v>
      </c>
      <c r="U3" s="1018"/>
      <c r="V3" s="1017" t="s">
        <v>122</v>
      </c>
      <c r="W3" s="1018"/>
      <c r="X3" s="1017" t="s">
        <v>123</v>
      </c>
      <c r="Y3" s="1018"/>
      <c r="Z3" s="1017" t="s">
        <v>223</v>
      </c>
      <c r="AA3" s="1019"/>
      <c r="AB3" s="1018" t="s">
        <v>124</v>
      </c>
      <c r="AC3" s="1018"/>
      <c r="AD3" s="1017" t="s">
        <v>125</v>
      </c>
      <c r="AE3" s="1018"/>
      <c r="AF3" s="1018" t="s">
        <v>126</v>
      </c>
      <c r="AG3" s="1018"/>
      <c r="AH3" s="1017" t="s">
        <v>127</v>
      </c>
      <c r="AI3" s="1018"/>
      <c r="AJ3" s="1018" t="s">
        <v>128</v>
      </c>
      <c r="AK3" s="1018"/>
      <c r="AL3" s="1017" t="s">
        <v>129</v>
      </c>
      <c r="AM3" s="1018"/>
      <c r="AN3" s="1017" t="s">
        <v>130</v>
      </c>
      <c r="AO3" s="1018"/>
      <c r="AP3" s="1017" t="s">
        <v>131</v>
      </c>
      <c r="AQ3" s="1019"/>
      <c r="AR3" s="1018" t="s">
        <v>132</v>
      </c>
      <c r="AS3" s="1018"/>
      <c r="AT3" s="1017" t="s">
        <v>133</v>
      </c>
      <c r="AU3" s="1019"/>
      <c r="AV3" s="1018" t="s">
        <v>1</v>
      </c>
      <c r="AW3" s="1018"/>
      <c r="AX3" s="1017" t="s">
        <v>134</v>
      </c>
      <c r="AY3" s="1019"/>
      <c r="AZ3" s="1017" t="s">
        <v>2</v>
      </c>
      <c r="BA3" s="1019"/>
    </row>
    <row r="4" spans="1:57" s="267" customFormat="1" ht="17.25" thickBot="1" x14ac:dyDescent="0.35">
      <c r="A4" s="1022"/>
      <c r="B4" s="319" t="s">
        <v>325</v>
      </c>
      <c r="C4" s="319" t="s">
        <v>388</v>
      </c>
      <c r="D4" s="318" t="s">
        <v>325</v>
      </c>
      <c r="E4" s="319" t="s">
        <v>388</v>
      </c>
      <c r="F4" s="319" t="s">
        <v>325</v>
      </c>
      <c r="G4" s="319" t="s">
        <v>388</v>
      </c>
      <c r="H4" s="319" t="s">
        <v>325</v>
      </c>
      <c r="I4" s="319" t="s">
        <v>388</v>
      </c>
      <c r="J4" s="319" t="s">
        <v>325</v>
      </c>
      <c r="K4" s="319" t="s">
        <v>388</v>
      </c>
      <c r="L4" s="319" t="s">
        <v>325</v>
      </c>
      <c r="M4" s="319" t="s">
        <v>388</v>
      </c>
      <c r="N4" s="318" t="s">
        <v>325</v>
      </c>
      <c r="O4" s="319" t="s">
        <v>388</v>
      </c>
      <c r="P4" s="319" t="s">
        <v>325</v>
      </c>
      <c r="Q4" s="319" t="s">
        <v>388</v>
      </c>
      <c r="R4" s="319" t="s">
        <v>325</v>
      </c>
      <c r="S4" s="319" t="s">
        <v>388</v>
      </c>
      <c r="T4" s="319" t="s">
        <v>325</v>
      </c>
      <c r="U4" s="319" t="s">
        <v>388</v>
      </c>
      <c r="V4" s="319" t="s">
        <v>325</v>
      </c>
      <c r="W4" s="319" t="s">
        <v>388</v>
      </c>
      <c r="X4" s="318" t="s">
        <v>325</v>
      </c>
      <c r="Y4" s="319" t="s">
        <v>388</v>
      </c>
      <c r="Z4" s="319" t="s">
        <v>325</v>
      </c>
      <c r="AA4" s="319" t="s">
        <v>388</v>
      </c>
      <c r="AB4" s="319" t="s">
        <v>325</v>
      </c>
      <c r="AC4" s="319" t="s">
        <v>388</v>
      </c>
      <c r="AD4" s="319" t="s">
        <v>325</v>
      </c>
      <c r="AE4" s="319" t="s">
        <v>388</v>
      </c>
      <c r="AF4" s="319" t="s">
        <v>325</v>
      </c>
      <c r="AG4" s="319" t="s">
        <v>388</v>
      </c>
      <c r="AH4" s="318" t="s">
        <v>325</v>
      </c>
      <c r="AI4" s="319" t="s">
        <v>388</v>
      </c>
      <c r="AJ4" s="319" t="s">
        <v>325</v>
      </c>
      <c r="AK4" s="319" t="s">
        <v>388</v>
      </c>
      <c r="AL4" s="319" t="s">
        <v>325</v>
      </c>
      <c r="AM4" s="319" t="s">
        <v>388</v>
      </c>
      <c r="AN4" s="319" t="s">
        <v>325</v>
      </c>
      <c r="AO4" s="319" t="s">
        <v>388</v>
      </c>
      <c r="AP4" s="319" t="s">
        <v>325</v>
      </c>
      <c r="AQ4" s="319" t="s">
        <v>388</v>
      </c>
      <c r="AR4" s="318" t="s">
        <v>325</v>
      </c>
      <c r="AS4" s="319" t="s">
        <v>388</v>
      </c>
      <c r="AT4" s="319" t="s">
        <v>325</v>
      </c>
      <c r="AU4" s="319" t="s">
        <v>388</v>
      </c>
      <c r="AV4" s="319" t="s">
        <v>325</v>
      </c>
      <c r="AW4" s="319" t="s">
        <v>388</v>
      </c>
      <c r="AX4" s="319" t="s">
        <v>325</v>
      </c>
      <c r="AY4" s="319" t="s">
        <v>388</v>
      </c>
      <c r="AZ4" s="318" t="s">
        <v>325</v>
      </c>
      <c r="BA4" s="320" t="s">
        <v>388</v>
      </c>
      <c r="BB4" s="312"/>
      <c r="BC4" s="312"/>
      <c r="BD4" s="312"/>
      <c r="BE4" s="312"/>
    </row>
    <row r="5" spans="1:57" ht="17.25" x14ac:dyDescent="0.35">
      <c r="A5" s="169" t="s">
        <v>3</v>
      </c>
      <c r="B5" s="229">
        <v>593.27</v>
      </c>
      <c r="C5" s="230">
        <v>615.36</v>
      </c>
      <c r="D5" s="231">
        <v>-0.03</v>
      </c>
      <c r="E5" s="232"/>
      <c r="F5" s="231">
        <v>28.97</v>
      </c>
      <c r="G5" s="233">
        <v>22.32</v>
      </c>
      <c r="H5" s="640">
        <v>983.01</v>
      </c>
      <c r="I5" s="641">
        <v>1261.01</v>
      </c>
      <c r="J5" s="232">
        <v>219.17</v>
      </c>
      <c r="K5" s="232">
        <v>233.85</v>
      </c>
      <c r="L5" s="231">
        <v>3.34</v>
      </c>
      <c r="M5" s="232">
        <v>2.13</v>
      </c>
      <c r="N5" s="231">
        <v>34.75</v>
      </c>
      <c r="O5" s="232">
        <v>45.56</v>
      </c>
      <c r="P5" s="235">
        <v>126.63</v>
      </c>
      <c r="Q5" s="21">
        <v>126.09</v>
      </c>
      <c r="R5" s="235">
        <v>354.16</v>
      </c>
      <c r="S5" s="21"/>
      <c r="T5" s="235">
        <v>17.37</v>
      </c>
      <c r="U5" s="21">
        <v>31.19</v>
      </c>
      <c r="V5" s="235">
        <v>1011.8</v>
      </c>
      <c r="W5" s="21">
        <v>1259.71</v>
      </c>
      <c r="X5" s="235">
        <v>1789.79</v>
      </c>
      <c r="Y5" s="21">
        <v>1819.67</v>
      </c>
      <c r="Z5" s="381">
        <v>22.1</v>
      </c>
      <c r="AA5" s="681">
        <v>16</v>
      </c>
      <c r="AB5" s="31">
        <v>30.39</v>
      </c>
      <c r="AC5" s="232">
        <v>36.49</v>
      </c>
      <c r="AD5" s="231">
        <v>299.89999999999998</v>
      </c>
      <c r="AE5" s="232">
        <v>577.73</v>
      </c>
      <c r="AF5" s="234">
        <v>1156.8800000000001</v>
      </c>
      <c r="AG5" s="232">
        <v>1225.52</v>
      </c>
      <c r="AH5" s="231">
        <v>49.89</v>
      </c>
      <c r="AI5" s="232">
        <v>116.36</v>
      </c>
      <c r="AJ5" s="234">
        <v>284.14</v>
      </c>
      <c r="AK5" s="232">
        <v>264.13</v>
      </c>
      <c r="AL5" s="383"/>
      <c r="AM5" s="232"/>
      <c r="AN5" s="497">
        <v>3067.85</v>
      </c>
      <c r="AO5" s="236">
        <v>3415.09</v>
      </c>
      <c r="AP5" s="231">
        <v>21.59</v>
      </c>
      <c r="AQ5" s="232">
        <v>21.7</v>
      </c>
      <c r="AR5" s="238">
        <v>0.08</v>
      </c>
      <c r="AS5" s="237"/>
      <c r="AT5" s="231">
        <v>774.68</v>
      </c>
      <c r="AU5" s="232">
        <v>1247.05</v>
      </c>
      <c r="AV5" s="239">
        <f t="shared" ref="AV5:AV20" si="0">SUM(B5+D5+F5+H5+J5+L5+N5+P5+R5+T5+V5+X5+Z5+AB5+AD5+AF5+AH5+AJ5+AL5+AN5+AP5+AR5+AT5)</f>
        <v>10869.730000000001</v>
      </c>
      <c r="AW5" s="803">
        <f t="shared" ref="AW5:AW20" si="1">SUM(C5+E5+G5+I5+K5+M5+O5+Q5+S5+U5+W5+Y5+AA5+AC5+AE5+AG5+AI5+AK5+AM5+AO5+AQ5+AS5+AU5)</f>
        <v>12336.960000000001</v>
      </c>
      <c r="AX5" s="238">
        <v>34574.85</v>
      </c>
      <c r="AY5" s="807">
        <v>37217.120000000003</v>
      </c>
      <c r="AZ5" s="239">
        <f t="shared" ref="AZ5:AZ20" si="2">AV5+AX5</f>
        <v>45444.58</v>
      </c>
      <c r="BA5" s="240">
        <f t="shared" ref="BA5:BA20" si="3">AW5+AY5</f>
        <v>49554.080000000002</v>
      </c>
    </row>
    <row r="6" spans="1:57" ht="17.25" x14ac:dyDescent="0.35">
      <c r="A6" s="68" t="s">
        <v>4</v>
      </c>
      <c r="B6" s="168">
        <v>928.23</v>
      </c>
      <c r="C6" s="230">
        <v>1317.62</v>
      </c>
      <c r="D6" s="42"/>
      <c r="E6" s="232"/>
      <c r="F6" s="42">
        <v>36.53</v>
      </c>
      <c r="G6" s="233">
        <v>51.69</v>
      </c>
      <c r="H6" s="216">
        <v>913.54</v>
      </c>
      <c r="I6" s="641">
        <v>1478.76</v>
      </c>
      <c r="J6" s="232">
        <v>32.24</v>
      </c>
      <c r="K6" s="232">
        <v>42.59</v>
      </c>
      <c r="L6" s="231">
        <v>1056.99</v>
      </c>
      <c r="M6" s="232">
        <v>1032.5899999999999</v>
      </c>
      <c r="N6" s="42">
        <v>0.01</v>
      </c>
      <c r="O6" s="232">
        <v>-0.01</v>
      </c>
      <c r="P6" s="1">
        <v>63.45</v>
      </c>
      <c r="Q6" s="21">
        <v>79.41</v>
      </c>
      <c r="R6" s="1">
        <v>27.11</v>
      </c>
      <c r="S6" s="21"/>
      <c r="T6" s="1">
        <v>26.79</v>
      </c>
      <c r="U6" s="21">
        <v>33.409999999999997</v>
      </c>
      <c r="V6" s="1">
        <v>3583.85</v>
      </c>
      <c r="W6" s="21">
        <v>4175.78</v>
      </c>
      <c r="X6" s="1">
        <v>2898.02</v>
      </c>
      <c r="Y6" s="21">
        <v>2132.6799999999998</v>
      </c>
      <c r="Z6" s="159">
        <v>361.2</v>
      </c>
      <c r="AA6" s="681">
        <v>365.89</v>
      </c>
      <c r="AB6" s="12">
        <v>843.36</v>
      </c>
      <c r="AC6" s="232">
        <v>1136.32</v>
      </c>
      <c r="AD6" s="42">
        <v>1075.08</v>
      </c>
      <c r="AE6" s="232">
        <v>1113.18</v>
      </c>
      <c r="AF6" s="46">
        <v>2985.59</v>
      </c>
      <c r="AG6" s="232">
        <v>3071.38</v>
      </c>
      <c r="AH6" s="42">
        <v>741.13</v>
      </c>
      <c r="AI6" s="232">
        <v>948.76</v>
      </c>
      <c r="AJ6" s="46">
        <v>9.94</v>
      </c>
      <c r="AK6" s="232">
        <v>14.91</v>
      </c>
      <c r="AL6" s="384"/>
      <c r="AM6" s="232"/>
      <c r="AN6" s="475">
        <v>7667.25</v>
      </c>
      <c r="AO6" s="236">
        <v>10531.1</v>
      </c>
      <c r="AP6" s="42">
        <v>1.85</v>
      </c>
      <c r="AQ6" s="232"/>
      <c r="AR6" s="50">
        <v>797.2</v>
      </c>
      <c r="AS6" s="237"/>
      <c r="AT6" s="42">
        <v>1799.53</v>
      </c>
      <c r="AU6" s="232">
        <v>2359.44</v>
      </c>
      <c r="AV6" s="239">
        <f t="shared" si="0"/>
        <v>25848.89</v>
      </c>
      <c r="AW6" s="803">
        <f t="shared" si="1"/>
        <v>29885.499999999996</v>
      </c>
      <c r="AX6" s="50">
        <v>839.41</v>
      </c>
      <c r="AY6" s="807">
        <v>1197.9100000000001</v>
      </c>
      <c r="AZ6" s="51">
        <f t="shared" si="2"/>
        <v>26688.3</v>
      </c>
      <c r="BA6" s="170">
        <f t="shared" si="3"/>
        <v>31083.409999999996</v>
      </c>
    </row>
    <row r="7" spans="1:57" ht="17.25" x14ac:dyDescent="0.35">
      <c r="A7" s="68" t="s">
        <v>5</v>
      </c>
      <c r="B7" s="168">
        <v>5.42</v>
      </c>
      <c r="C7" s="230">
        <v>6.76</v>
      </c>
      <c r="D7" s="42">
        <v>-0.19</v>
      </c>
      <c r="E7" s="232">
        <v>-0.24</v>
      </c>
      <c r="F7" s="42">
        <v>5.26</v>
      </c>
      <c r="G7" s="233">
        <v>3.54</v>
      </c>
      <c r="H7" s="216">
        <v>51.16</v>
      </c>
      <c r="I7" s="641">
        <v>77.37</v>
      </c>
      <c r="J7" s="232">
        <v>98.62</v>
      </c>
      <c r="K7" s="232">
        <v>85.79</v>
      </c>
      <c r="L7" s="42">
        <v>0.24</v>
      </c>
      <c r="M7" s="43">
        <v>18.41</v>
      </c>
      <c r="N7" s="42">
        <v>10.76</v>
      </c>
      <c r="O7" s="232">
        <v>23.48</v>
      </c>
      <c r="P7" s="1">
        <v>28.38</v>
      </c>
      <c r="Q7" s="21">
        <v>25.65</v>
      </c>
      <c r="R7" s="1">
        <v>5.39</v>
      </c>
      <c r="S7" s="21"/>
      <c r="T7" s="1">
        <v>11.29</v>
      </c>
      <c r="U7" s="21">
        <v>20.13</v>
      </c>
      <c r="V7" s="1">
        <v>330.54</v>
      </c>
      <c r="W7" s="21">
        <v>463.82</v>
      </c>
      <c r="X7" s="1">
        <v>255.69</v>
      </c>
      <c r="Y7" s="21">
        <v>297.39999999999998</v>
      </c>
      <c r="Z7" s="159"/>
      <c r="AA7" s="681"/>
      <c r="AB7" s="12">
        <v>16.54</v>
      </c>
      <c r="AC7" s="232">
        <v>4.32</v>
      </c>
      <c r="AD7" s="42">
        <v>9.36</v>
      </c>
      <c r="AE7" s="232">
        <v>23.8</v>
      </c>
      <c r="AF7" s="46">
        <v>70.77</v>
      </c>
      <c r="AG7" s="232">
        <v>80.86</v>
      </c>
      <c r="AH7" s="42">
        <v>22.52</v>
      </c>
      <c r="AI7" s="232">
        <v>21.53</v>
      </c>
      <c r="AJ7" s="46">
        <v>27.84</v>
      </c>
      <c r="AK7" s="232">
        <v>34.86</v>
      </c>
      <c r="AL7" s="384"/>
      <c r="AM7" s="232"/>
      <c r="AN7" s="476">
        <v>301.08</v>
      </c>
      <c r="AO7" s="236">
        <v>431.23</v>
      </c>
      <c r="AP7" s="42">
        <v>195.27</v>
      </c>
      <c r="AQ7" s="232">
        <v>173.96</v>
      </c>
      <c r="AR7" s="50"/>
      <c r="AS7" s="237"/>
      <c r="AT7" s="42">
        <v>48.34</v>
      </c>
      <c r="AU7" s="232">
        <v>80.95</v>
      </c>
      <c r="AV7" s="239">
        <f t="shared" si="0"/>
        <v>1494.2799999999997</v>
      </c>
      <c r="AW7" s="803">
        <f t="shared" si="1"/>
        <v>1873.62</v>
      </c>
      <c r="AX7" s="50">
        <v>32.07</v>
      </c>
      <c r="AY7" s="807">
        <v>36.770000000000003</v>
      </c>
      <c r="AZ7" s="51">
        <f t="shared" si="2"/>
        <v>1526.3499999999997</v>
      </c>
      <c r="BA7" s="170">
        <f t="shared" si="3"/>
        <v>1910.3899999999999</v>
      </c>
    </row>
    <row r="8" spans="1:57" ht="17.25" x14ac:dyDescent="0.35">
      <c r="A8" s="68" t="s">
        <v>6</v>
      </c>
      <c r="B8" s="168">
        <v>13.66</v>
      </c>
      <c r="C8" s="230">
        <v>20.29</v>
      </c>
      <c r="D8" s="42">
        <v>2.44</v>
      </c>
      <c r="E8" s="232">
        <v>0.41</v>
      </c>
      <c r="F8" s="42">
        <v>1.45</v>
      </c>
      <c r="G8" s="233">
        <v>6.14</v>
      </c>
      <c r="H8" s="216">
        <v>125.03</v>
      </c>
      <c r="I8" s="641">
        <v>273.02999999999997</v>
      </c>
      <c r="J8" s="232">
        <v>82.5</v>
      </c>
      <c r="K8" s="232">
        <v>90.98</v>
      </c>
      <c r="L8" s="42">
        <v>7.15</v>
      </c>
      <c r="M8" s="43">
        <v>17.84</v>
      </c>
      <c r="N8" s="42">
        <v>-0.01</v>
      </c>
      <c r="O8" s="232">
        <v>-0.02</v>
      </c>
      <c r="P8" s="1">
        <v>10.82</v>
      </c>
      <c r="Q8" s="21">
        <v>5.26</v>
      </c>
      <c r="R8" s="1">
        <v>103.79</v>
      </c>
      <c r="S8" s="21"/>
      <c r="T8" s="1">
        <v>5.55</v>
      </c>
      <c r="U8" s="21">
        <v>8.24</v>
      </c>
      <c r="V8" s="1">
        <v>363.96</v>
      </c>
      <c r="W8" s="21">
        <v>513.14</v>
      </c>
      <c r="X8" s="1">
        <v>228.2</v>
      </c>
      <c r="Y8" s="21">
        <v>347.19</v>
      </c>
      <c r="Z8" s="159">
        <v>30.88</v>
      </c>
      <c r="AA8" s="681">
        <v>27.53</v>
      </c>
      <c r="AB8" s="12">
        <v>18.489999999999998</v>
      </c>
      <c r="AC8" s="232">
        <v>26.32</v>
      </c>
      <c r="AD8" s="42">
        <v>41.74</v>
      </c>
      <c r="AE8" s="232">
        <v>41.46</v>
      </c>
      <c r="AF8" s="46">
        <v>40.47</v>
      </c>
      <c r="AG8" s="232">
        <v>137.62</v>
      </c>
      <c r="AH8" s="42">
        <v>27.65</v>
      </c>
      <c r="AI8" s="232">
        <v>58.03</v>
      </c>
      <c r="AJ8" s="46">
        <v>14.06</v>
      </c>
      <c r="AK8" s="232">
        <v>26.84</v>
      </c>
      <c r="AL8" s="384"/>
      <c r="AM8" s="232"/>
      <c r="AN8" s="476">
        <v>1.4</v>
      </c>
      <c r="AO8" s="236">
        <v>2.54</v>
      </c>
      <c r="AP8" s="42">
        <v>29.74</v>
      </c>
      <c r="AQ8" s="232">
        <v>39.51</v>
      </c>
      <c r="AR8" s="50">
        <v>0.02</v>
      </c>
      <c r="AS8" s="237"/>
      <c r="AT8" s="42">
        <v>294.3</v>
      </c>
      <c r="AU8" s="232">
        <v>749.99</v>
      </c>
      <c r="AV8" s="239">
        <f t="shared" si="0"/>
        <v>1443.29</v>
      </c>
      <c r="AW8" s="803">
        <f t="shared" si="1"/>
        <v>2392.3399999999997</v>
      </c>
      <c r="AX8" s="50">
        <v>16.87</v>
      </c>
      <c r="AY8" s="807">
        <v>33.130000000000003</v>
      </c>
      <c r="AZ8" s="51">
        <f t="shared" si="2"/>
        <v>1460.1599999999999</v>
      </c>
      <c r="BA8" s="170">
        <f t="shared" si="3"/>
        <v>2425.4699999999998</v>
      </c>
    </row>
    <row r="9" spans="1:57" ht="17.25" x14ac:dyDescent="0.35">
      <c r="A9" s="68" t="s">
        <v>7</v>
      </c>
      <c r="B9" s="59"/>
      <c r="C9" s="230"/>
      <c r="D9" s="51"/>
      <c r="E9" s="232"/>
      <c r="F9" s="51"/>
      <c r="G9" s="233"/>
      <c r="H9" s="52"/>
      <c r="I9" s="641"/>
      <c r="J9" s="232"/>
      <c r="K9" s="232"/>
      <c r="L9" s="51"/>
      <c r="M9" s="43"/>
      <c r="N9" s="51"/>
      <c r="O9" s="232"/>
      <c r="P9" s="3"/>
      <c r="Q9" s="21"/>
      <c r="R9" s="3"/>
      <c r="S9" s="21"/>
      <c r="T9" s="3"/>
      <c r="U9" s="21"/>
      <c r="V9" s="3"/>
      <c r="W9" s="21"/>
      <c r="X9" s="3"/>
      <c r="Y9" s="21"/>
      <c r="Z9" s="159"/>
      <c r="AA9" s="681"/>
      <c r="AB9" s="18"/>
      <c r="AC9" s="232"/>
      <c r="AD9" s="382">
        <v>7.0000000000000007E-2</v>
      </c>
      <c r="AE9" s="232">
        <v>0.02</v>
      </c>
      <c r="AF9" s="49"/>
      <c r="AG9" s="232"/>
      <c r="AH9" s="51"/>
      <c r="AI9" s="232"/>
      <c r="AJ9" s="49"/>
      <c r="AK9" s="232"/>
      <c r="AL9" s="384"/>
      <c r="AM9" s="232"/>
      <c r="AN9" s="477"/>
      <c r="AO9" s="236"/>
      <c r="AP9" s="42"/>
      <c r="AQ9" s="232"/>
      <c r="AR9" s="50"/>
      <c r="AS9" s="237"/>
      <c r="AT9" s="51">
        <v>0.49</v>
      </c>
      <c r="AU9" s="232">
        <v>1.64</v>
      </c>
      <c r="AV9" s="239">
        <f t="shared" si="0"/>
        <v>0.56000000000000005</v>
      </c>
      <c r="AW9" s="803">
        <f t="shared" si="1"/>
        <v>1.66</v>
      </c>
      <c r="AX9" s="51">
        <v>184.73</v>
      </c>
      <c r="AY9" s="807">
        <v>136.16</v>
      </c>
      <c r="AZ9" s="51">
        <f t="shared" si="2"/>
        <v>185.29</v>
      </c>
      <c r="BA9" s="170">
        <f t="shared" si="3"/>
        <v>137.82</v>
      </c>
    </row>
    <row r="10" spans="1:57" ht="17.25" x14ac:dyDescent="0.35">
      <c r="A10" s="68" t="s">
        <v>15</v>
      </c>
      <c r="B10" s="168"/>
      <c r="C10" s="230"/>
      <c r="D10" s="42"/>
      <c r="E10" s="232"/>
      <c r="F10" s="42"/>
      <c r="G10" s="233"/>
      <c r="H10" s="216"/>
      <c r="I10" s="641"/>
      <c r="J10" s="232"/>
      <c r="K10" s="232"/>
      <c r="L10" s="42"/>
      <c r="M10" s="43"/>
      <c r="N10" s="42"/>
      <c r="O10" s="232"/>
      <c r="P10" s="1"/>
      <c r="Q10" s="21"/>
      <c r="R10" s="1"/>
      <c r="S10" s="21"/>
      <c r="T10" s="1"/>
      <c r="U10" s="21"/>
      <c r="V10" s="1"/>
      <c r="W10" s="21"/>
      <c r="X10" s="1"/>
      <c r="Y10" s="21"/>
      <c r="Z10" s="1"/>
      <c r="AA10" s="681"/>
      <c r="AB10" s="12">
        <v>4.63</v>
      </c>
      <c r="AC10" s="232">
        <v>3.94</v>
      </c>
      <c r="AD10" s="42"/>
      <c r="AE10" s="232">
        <v>0.12</v>
      </c>
      <c r="AF10" s="46"/>
      <c r="AG10" s="232"/>
      <c r="AH10" s="42"/>
      <c r="AI10" s="232"/>
      <c r="AJ10" s="46"/>
      <c r="AK10" s="232"/>
      <c r="AL10" s="384"/>
      <c r="AM10" s="232"/>
      <c r="AN10" s="477">
        <v>0.18</v>
      </c>
      <c r="AO10" s="236"/>
      <c r="AP10" s="42"/>
      <c r="AQ10" s="232"/>
      <c r="AR10" s="50"/>
      <c r="AS10" s="237"/>
      <c r="AT10" s="42"/>
      <c r="AU10" s="232"/>
      <c r="AV10" s="239">
        <f t="shared" si="0"/>
        <v>4.8099999999999996</v>
      </c>
      <c r="AW10" s="803">
        <f t="shared" si="1"/>
        <v>4.0599999999999996</v>
      </c>
      <c r="AX10" s="50">
        <v>0.62</v>
      </c>
      <c r="AY10" s="807">
        <v>32.24</v>
      </c>
      <c r="AZ10" s="51">
        <f t="shared" si="2"/>
        <v>5.43</v>
      </c>
      <c r="BA10" s="170">
        <f t="shared" si="3"/>
        <v>36.300000000000004</v>
      </c>
    </row>
    <row r="11" spans="1:57" ht="17.25" x14ac:dyDescent="0.35">
      <c r="A11" s="790" t="s">
        <v>8</v>
      </c>
      <c r="B11" s="168"/>
      <c r="C11" s="230"/>
      <c r="D11" s="42"/>
      <c r="E11" s="232"/>
      <c r="F11" s="42"/>
      <c r="G11" s="233"/>
      <c r="H11" s="216"/>
      <c r="I11" s="641"/>
      <c r="J11" s="232"/>
      <c r="K11" s="232"/>
      <c r="L11" s="42"/>
      <c r="M11" s="43"/>
      <c r="N11" s="42"/>
      <c r="O11" s="232"/>
      <c r="P11" s="1"/>
      <c r="Q11" s="21"/>
      <c r="R11" s="1"/>
      <c r="S11" s="21"/>
      <c r="T11" s="1"/>
      <c r="U11" s="21"/>
      <c r="V11" s="1"/>
      <c r="W11" s="21"/>
      <c r="X11" s="1"/>
      <c r="Y11" s="21"/>
      <c r="Z11" s="1"/>
      <c r="AA11" s="681"/>
      <c r="AB11" s="12"/>
      <c r="AC11" s="232"/>
      <c r="AD11" s="42"/>
      <c r="AE11" s="232"/>
      <c r="AF11" s="46"/>
      <c r="AG11" s="232"/>
      <c r="AH11" s="42"/>
      <c r="AI11" s="232"/>
      <c r="AJ11" s="46"/>
      <c r="AK11" s="232"/>
      <c r="AL11" s="384"/>
      <c r="AM11" s="232"/>
      <c r="AN11" s="476"/>
      <c r="AO11" s="236"/>
      <c r="AP11" s="42"/>
      <c r="AQ11" s="232"/>
      <c r="AR11" s="50"/>
      <c r="AS11" s="237"/>
      <c r="AT11" s="42"/>
      <c r="AU11" s="232"/>
      <c r="AV11" s="239">
        <f t="shared" si="0"/>
        <v>0</v>
      </c>
      <c r="AW11" s="803">
        <f t="shared" si="1"/>
        <v>0</v>
      </c>
      <c r="AX11" s="50"/>
      <c r="AY11" s="807"/>
      <c r="AZ11" s="51">
        <f t="shared" si="2"/>
        <v>0</v>
      </c>
      <c r="BA11" s="170">
        <f t="shared" si="3"/>
        <v>0</v>
      </c>
    </row>
    <row r="12" spans="1:57" ht="17.25" x14ac:dyDescent="0.35">
      <c r="A12" s="68" t="s">
        <v>326</v>
      </c>
      <c r="B12" s="168">
        <v>4.29</v>
      </c>
      <c r="C12" s="230">
        <v>65.33</v>
      </c>
      <c r="D12" s="42">
        <v>2.5099999999999998</v>
      </c>
      <c r="E12" s="232">
        <v>0.35</v>
      </c>
      <c r="F12" s="42">
        <v>0.73</v>
      </c>
      <c r="G12" s="233">
        <v>0.61</v>
      </c>
      <c r="H12" s="216">
        <v>12.09</v>
      </c>
      <c r="I12" s="641">
        <v>12.23</v>
      </c>
      <c r="J12" s="232">
        <v>25.97</v>
      </c>
      <c r="K12" s="232">
        <v>11.64</v>
      </c>
      <c r="L12" s="42">
        <v>6.97</v>
      </c>
      <c r="M12" s="43">
        <v>3.89</v>
      </c>
      <c r="N12" s="789"/>
      <c r="O12" s="232"/>
      <c r="P12" s="1">
        <v>4.3600000000000003</v>
      </c>
      <c r="Q12" s="21">
        <v>2.64</v>
      </c>
      <c r="R12" s="1"/>
      <c r="S12" s="21"/>
      <c r="T12" s="1">
        <v>1.43</v>
      </c>
      <c r="U12" s="21">
        <v>1.24</v>
      </c>
      <c r="V12" s="1">
        <v>867.27</v>
      </c>
      <c r="W12" s="21">
        <v>605.15</v>
      </c>
      <c r="X12" s="1">
        <v>133.91</v>
      </c>
      <c r="Y12" s="21">
        <v>123.39</v>
      </c>
      <c r="Z12" s="1"/>
      <c r="AA12" s="681">
        <v>0.01</v>
      </c>
      <c r="AB12" s="12"/>
      <c r="AC12" s="232"/>
      <c r="AD12" s="42">
        <v>2.62</v>
      </c>
      <c r="AE12" s="232">
        <v>9.25</v>
      </c>
      <c r="AF12" s="46">
        <v>48.41</v>
      </c>
      <c r="AG12" s="232">
        <v>58.03</v>
      </c>
      <c r="AH12" s="42">
        <v>1.75</v>
      </c>
      <c r="AI12" s="232">
        <v>0.66</v>
      </c>
      <c r="AJ12" s="46">
        <v>0.15</v>
      </c>
      <c r="AK12" s="232"/>
      <c r="AL12" s="384"/>
      <c r="AM12" s="232"/>
      <c r="AN12" s="476">
        <v>16.29</v>
      </c>
      <c r="AO12" s="236">
        <v>17.63</v>
      </c>
      <c r="AP12" s="42">
        <v>2.71</v>
      </c>
      <c r="AQ12" s="232">
        <v>3.98</v>
      </c>
      <c r="AR12" s="50"/>
      <c r="AS12" s="237"/>
      <c r="AT12" s="42">
        <v>23</v>
      </c>
      <c r="AU12" s="232">
        <v>78.92</v>
      </c>
      <c r="AV12" s="239"/>
      <c r="AW12" s="803"/>
      <c r="AX12" s="50">
        <v>145.44999999999999</v>
      </c>
      <c r="AY12" s="807">
        <v>50.49</v>
      </c>
      <c r="AZ12" s="51"/>
      <c r="BA12" s="170"/>
    </row>
    <row r="13" spans="1:57" ht="17.25" x14ac:dyDescent="0.35">
      <c r="A13" s="68" t="s">
        <v>327</v>
      </c>
      <c r="B13" s="168">
        <v>68.260000000000005</v>
      </c>
      <c r="C13" s="230">
        <v>115.53</v>
      </c>
      <c r="D13" s="42">
        <v>0.59</v>
      </c>
      <c r="E13" s="232"/>
      <c r="F13" s="42">
        <v>41.22</v>
      </c>
      <c r="G13" s="233">
        <v>38.26</v>
      </c>
      <c r="H13" s="216">
        <v>346.54</v>
      </c>
      <c r="I13" s="641">
        <v>490.38</v>
      </c>
      <c r="J13" s="232">
        <v>42.21</v>
      </c>
      <c r="K13" s="232">
        <v>44</v>
      </c>
      <c r="L13" s="42">
        <v>13.53</v>
      </c>
      <c r="M13" s="43">
        <v>37.119999999999997</v>
      </c>
      <c r="N13" s="789">
        <v>41.32</v>
      </c>
      <c r="O13" s="232">
        <v>42.97</v>
      </c>
      <c r="P13" s="1">
        <v>36.39</v>
      </c>
      <c r="Q13" s="21">
        <v>40.590000000000003</v>
      </c>
      <c r="R13" s="1">
        <v>60.67</v>
      </c>
      <c r="S13" s="21"/>
      <c r="T13" s="1">
        <v>112.74</v>
      </c>
      <c r="U13" s="21">
        <v>105.09</v>
      </c>
      <c r="V13" s="1">
        <v>1883.29</v>
      </c>
      <c r="W13" s="21">
        <v>2071.5100000000002</v>
      </c>
      <c r="X13" s="1">
        <v>1021.15</v>
      </c>
      <c r="Y13" s="21">
        <v>986.61</v>
      </c>
      <c r="Z13" s="1">
        <v>22.4</v>
      </c>
      <c r="AA13" s="682">
        <v>35.03</v>
      </c>
      <c r="AB13" s="12">
        <v>39.78</v>
      </c>
      <c r="AC13" s="232">
        <v>28.1</v>
      </c>
      <c r="AD13" s="42">
        <v>440.59</v>
      </c>
      <c r="AE13" s="232">
        <v>471.45</v>
      </c>
      <c r="AF13" s="46">
        <v>344.3</v>
      </c>
      <c r="AG13" s="232">
        <v>461.53</v>
      </c>
      <c r="AH13" s="42">
        <v>265.20999999999998</v>
      </c>
      <c r="AI13" s="232">
        <v>289.5</v>
      </c>
      <c r="AJ13" s="46">
        <v>331.66</v>
      </c>
      <c r="AK13" s="232">
        <v>347.64</v>
      </c>
      <c r="AL13" s="384"/>
      <c r="AM13" s="232"/>
      <c r="AN13" s="476">
        <v>555.11</v>
      </c>
      <c r="AO13" s="236">
        <v>841.78</v>
      </c>
      <c r="AP13" s="42">
        <v>123.07</v>
      </c>
      <c r="AQ13" s="232">
        <v>191.94</v>
      </c>
      <c r="AR13" s="50">
        <v>2.2000000000000002</v>
      </c>
      <c r="AS13" s="237"/>
      <c r="AT13" s="42">
        <v>110.25</v>
      </c>
      <c r="AU13" s="232">
        <v>223.03</v>
      </c>
      <c r="AV13" s="239"/>
      <c r="AW13" s="803"/>
      <c r="AX13" s="50"/>
      <c r="AY13" s="807"/>
      <c r="AZ13" s="51"/>
      <c r="BA13" s="170"/>
    </row>
    <row r="14" spans="1:57" ht="17.25" x14ac:dyDescent="0.35">
      <c r="A14" s="68" t="s">
        <v>16</v>
      </c>
      <c r="B14" s="168">
        <v>0.8</v>
      </c>
      <c r="C14" s="230">
        <v>5.95</v>
      </c>
      <c r="D14" s="42"/>
      <c r="E14" s="232"/>
      <c r="F14" s="42"/>
      <c r="G14" s="44"/>
      <c r="H14" s="216">
        <v>5.18</v>
      </c>
      <c r="I14" s="641">
        <v>1.37</v>
      </c>
      <c r="J14" s="43">
        <v>0.04</v>
      </c>
      <c r="K14" s="43">
        <v>0.23</v>
      </c>
      <c r="L14" s="42">
        <v>8.08</v>
      </c>
      <c r="M14" s="43">
        <v>4.24</v>
      </c>
      <c r="N14" s="228"/>
      <c r="O14" s="43"/>
      <c r="P14" s="1"/>
      <c r="Q14" s="45">
        <v>1.31</v>
      </c>
      <c r="R14" s="1">
        <v>5.59</v>
      </c>
      <c r="S14" s="21"/>
      <c r="T14" s="1"/>
      <c r="U14" s="2"/>
      <c r="V14" s="1"/>
      <c r="W14" s="21">
        <v>0.17</v>
      </c>
      <c r="X14" s="1"/>
      <c r="Y14" s="21">
        <v>8.57</v>
      </c>
      <c r="Z14" s="1">
        <v>0.26</v>
      </c>
      <c r="AA14" s="682">
        <v>0.15</v>
      </c>
      <c r="AB14" s="12"/>
      <c r="AC14" s="43"/>
      <c r="AD14" s="42">
        <v>1.9</v>
      </c>
      <c r="AE14" s="232">
        <v>0.63</v>
      </c>
      <c r="AF14" s="46"/>
      <c r="AG14" s="232"/>
      <c r="AH14" s="42"/>
      <c r="AI14" s="232">
        <v>0.24</v>
      </c>
      <c r="AJ14" s="46"/>
      <c r="AK14" s="232"/>
      <c r="AL14" s="384"/>
      <c r="AM14" s="232"/>
      <c r="AN14" s="476"/>
      <c r="AO14" s="47">
        <v>2.04</v>
      </c>
      <c r="AP14" s="42"/>
      <c r="AQ14" s="43">
        <v>2E-3</v>
      </c>
      <c r="AR14" s="50"/>
      <c r="AS14" s="48"/>
      <c r="AT14" s="42"/>
      <c r="AU14" s="43"/>
      <c r="AV14" s="239">
        <f t="shared" si="0"/>
        <v>21.849999999999998</v>
      </c>
      <c r="AW14" s="803">
        <f t="shared" si="1"/>
        <v>24.901999999999997</v>
      </c>
      <c r="AX14" s="50">
        <v>3.19</v>
      </c>
      <c r="AY14" s="807">
        <v>1.78</v>
      </c>
      <c r="AZ14" s="51">
        <f t="shared" si="2"/>
        <v>25.04</v>
      </c>
      <c r="BA14" s="170">
        <f t="shared" si="3"/>
        <v>26.681999999999999</v>
      </c>
    </row>
    <row r="15" spans="1:57" ht="17.25" x14ac:dyDescent="0.35">
      <c r="A15" s="68" t="s">
        <v>17</v>
      </c>
      <c r="B15" s="168"/>
      <c r="C15" s="230"/>
      <c r="D15" s="42"/>
      <c r="E15" s="232"/>
      <c r="F15" s="42">
        <v>5.97</v>
      </c>
      <c r="G15" s="44">
        <v>6.23</v>
      </c>
      <c r="H15" s="216"/>
      <c r="I15" s="641"/>
      <c r="J15" s="43"/>
      <c r="K15" s="43"/>
      <c r="L15" s="42"/>
      <c r="M15" s="43"/>
      <c r="N15" s="42"/>
      <c r="O15" s="43"/>
      <c r="P15" s="1"/>
      <c r="Q15" s="45"/>
      <c r="R15" s="1"/>
      <c r="S15" s="21"/>
      <c r="T15" s="1">
        <v>5.37</v>
      </c>
      <c r="U15" s="2">
        <v>3.07</v>
      </c>
      <c r="V15" s="1">
        <v>2.79</v>
      </c>
      <c r="W15" s="21">
        <v>2.73</v>
      </c>
      <c r="X15" s="1">
        <v>30.72</v>
      </c>
      <c r="Y15" s="21">
        <v>17.399999999999999</v>
      </c>
      <c r="Z15" s="1"/>
      <c r="AA15" s="682"/>
      <c r="AB15" s="12"/>
      <c r="AC15" s="43"/>
      <c r="AD15" s="42"/>
      <c r="AE15" s="43">
        <v>8.0000000000000002E-3</v>
      </c>
      <c r="AF15" s="46">
        <v>24.35</v>
      </c>
      <c r="AG15" s="43">
        <v>27.89</v>
      </c>
      <c r="AH15" s="42">
        <v>17.88</v>
      </c>
      <c r="AI15" s="232">
        <v>19.3</v>
      </c>
      <c r="AJ15" s="46"/>
      <c r="AK15" s="232"/>
      <c r="AL15" s="384"/>
      <c r="AM15" s="232"/>
      <c r="AN15" s="476">
        <v>7.0000000000000007E-2</v>
      </c>
      <c r="AO15" s="47">
        <v>0.02</v>
      </c>
      <c r="AP15" s="42"/>
      <c r="AQ15" s="43"/>
      <c r="AR15" s="50"/>
      <c r="AS15" s="48"/>
      <c r="AT15" s="42"/>
      <c r="AU15" s="43"/>
      <c r="AV15" s="239">
        <f t="shared" si="0"/>
        <v>87.149999999999977</v>
      </c>
      <c r="AW15" s="803">
        <f t="shared" si="1"/>
        <v>76.647999999999996</v>
      </c>
      <c r="AX15" s="50">
        <v>28.64</v>
      </c>
      <c r="AY15" s="807">
        <v>55.32</v>
      </c>
      <c r="AZ15" s="51">
        <f t="shared" si="2"/>
        <v>115.78999999999998</v>
      </c>
      <c r="BA15" s="170">
        <f t="shared" si="3"/>
        <v>131.96799999999999</v>
      </c>
    </row>
    <row r="16" spans="1:57" ht="17.25" x14ac:dyDescent="0.35">
      <c r="A16" s="68" t="s">
        <v>136</v>
      </c>
      <c r="B16" s="168"/>
      <c r="C16" s="230"/>
      <c r="D16" s="42"/>
      <c r="E16" s="232"/>
      <c r="F16" s="42"/>
      <c r="G16" s="44"/>
      <c r="H16" s="216"/>
      <c r="I16" s="641"/>
      <c r="J16" s="43"/>
      <c r="K16" s="43"/>
      <c r="L16" s="42"/>
      <c r="M16" s="43"/>
      <c r="N16" s="42"/>
      <c r="O16" s="43"/>
      <c r="P16" s="1"/>
      <c r="Q16" s="45"/>
      <c r="R16" s="1"/>
      <c r="S16" s="2"/>
      <c r="T16" s="1"/>
      <c r="U16" s="2"/>
      <c r="V16" s="1"/>
      <c r="W16" s="21"/>
      <c r="X16" s="1"/>
      <c r="Y16" s="21"/>
      <c r="Z16" s="1"/>
      <c r="AA16" s="682"/>
      <c r="AB16" s="12"/>
      <c r="AC16" s="43"/>
      <c r="AD16" s="42"/>
      <c r="AE16" s="43"/>
      <c r="AF16" s="46"/>
      <c r="AG16" s="43"/>
      <c r="AH16" s="42"/>
      <c r="AI16" s="232"/>
      <c r="AJ16" s="46"/>
      <c r="AK16" s="232"/>
      <c r="AL16" s="384"/>
      <c r="AM16" s="232"/>
      <c r="AN16" s="476"/>
      <c r="AO16" s="47"/>
      <c r="AP16" s="42"/>
      <c r="AQ16" s="43"/>
      <c r="AR16" s="50"/>
      <c r="AS16" s="48"/>
      <c r="AT16" s="42"/>
      <c r="AU16" s="43"/>
      <c r="AV16" s="239">
        <f t="shared" si="0"/>
        <v>0</v>
      </c>
      <c r="AW16" s="803">
        <f t="shared" si="1"/>
        <v>0</v>
      </c>
      <c r="AX16" s="50"/>
      <c r="AY16" s="808"/>
      <c r="AZ16" s="51">
        <f t="shared" si="2"/>
        <v>0</v>
      </c>
      <c r="BA16" s="170">
        <f t="shared" si="3"/>
        <v>0</v>
      </c>
    </row>
    <row r="17" spans="1:53" ht="18" thickBot="1" x14ac:dyDescent="0.4">
      <c r="A17" s="171" t="s">
        <v>19</v>
      </c>
      <c r="B17" s="188">
        <v>2.37</v>
      </c>
      <c r="C17" s="230">
        <v>0.56999999999999995</v>
      </c>
      <c r="D17" s="172">
        <v>4.1500000000000004</v>
      </c>
      <c r="E17" s="232">
        <v>0.13</v>
      </c>
      <c r="F17" s="172"/>
      <c r="G17" s="174"/>
      <c r="H17" s="642">
        <v>66.23</v>
      </c>
      <c r="I17" s="641">
        <v>2.16</v>
      </c>
      <c r="J17" s="173">
        <v>0.13</v>
      </c>
      <c r="K17" s="173">
        <v>0.01</v>
      </c>
      <c r="L17" s="172">
        <v>3.21</v>
      </c>
      <c r="M17" s="173">
        <v>1.17</v>
      </c>
      <c r="N17" s="172"/>
      <c r="O17" s="173"/>
      <c r="P17" s="189">
        <v>0.71</v>
      </c>
      <c r="Q17" s="190"/>
      <c r="R17" s="189"/>
      <c r="S17" s="192"/>
      <c r="T17" s="189"/>
      <c r="U17" s="192"/>
      <c r="V17" s="189">
        <v>16.37</v>
      </c>
      <c r="W17" s="21">
        <v>2.2799999999999998</v>
      </c>
      <c r="X17" s="189">
        <v>22.99</v>
      </c>
      <c r="Y17" s="21">
        <v>1.79</v>
      </c>
      <c r="Z17" s="189"/>
      <c r="AA17" s="683"/>
      <c r="AB17" s="191"/>
      <c r="AC17" s="173">
        <v>5.0000000000000001E-3</v>
      </c>
      <c r="AD17" s="172">
        <v>1.4</v>
      </c>
      <c r="AE17" s="173">
        <v>0.23</v>
      </c>
      <c r="AF17" s="175">
        <v>49.96</v>
      </c>
      <c r="AG17" s="173">
        <v>3.81</v>
      </c>
      <c r="AH17" s="172">
        <v>15.08</v>
      </c>
      <c r="AI17" s="232">
        <v>1.07</v>
      </c>
      <c r="AJ17" s="175"/>
      <c r="AK17" s="232"/>
      <c r="AL17" s="385"/>
      <c r="AM17" s="232"/>
      <c r="AN17" s="498">
        <v>1.98</v>
      </c>
      <c r="AO17" s="193">
        <v>0.28000000000000003</v>
      </c>
      <c r="AP17" s="172">
        <v>-0.01</v>
      </c>
      <c r="AQ17" s="173">
        <v>-0.01</v>
      </c>
      <c r="AR17" s="177"/>
      <c r="AS17" s="176"/>
      <c r="AT17" s="172">
        <v>73.66</v>
      </c>
      <c r="AU17" s="173">
        <v>3.46</v>
      </c>
      <c r="AV17" s="239">
        <f t="shared" si="0"/>
        <v>258.23</v>
      </c>
      <c r="AW17" s="803">
        <f t="shared" si="1"/>
        <v>16.955000000000002</v>
      </c>
      <c r="AX17" s="177"/>
      <c r="AY17" s="809"/>
      <c r="AZ17" s="178">
        <f t="shared" si="2"/>
        <v>258.23</v>
      </c>
      <c r="BA17" s="179">
        <f t="shared" si="3"/>
        <v>16.955000000000002</v>
      </c>
    </row>
    <row r="18" spans="1:53" s="276" customFormat="1" ht="18.75" thickBot="1" x14ac:dyDescent="0.4">
      <c r="A18" s="268" t="s">
        <v>20</v>
      </c>
      <c r="B18" s="269">
        <f>SUM(B5:B17)</f>
        <v>1616.3</v>
      </c>
      <c r="C18" s="269">
        <f t="shared" ref="C18:AH18" si="4">SUM(C5:C17)</f>
        <v>2147.41</v>
      </c>
      <c r="D18" s="271">
        <f t="shared" si="4"/>
        <v>9.4699999999999989</v>
      </c>
      <c r="E18" s="269">
        <f t="shared" si="4"/>
        <v>0.65</v>
      </c>
      <c r="F18" s="271">
        <f t="shared" si="4"/>
        <v>120.13000000000001</v>
      </c>
      <c r="G18" s="270">
        <f t="shared" si="4"/>
        <v>128.79</v>
      </c>
      <c r="H18" s="271">
        <f t="shared" si="4"/>
        <v>2502.7800000000002</v>
      </c>
      <c r="I18" s="272">
        <f t="shared" si="4"/>
        <v>3596.31</v>
      </c>
      <c r="J18" s="271">
        <f t="shared" si="4"/>
        <v>500.88</v>
      </c>
      <c r="K18" s="269">
        <f t="shared" si="4"/>
        <v>509.09000000000003</v>
      </c>
      <c r="L18" s="271">
        <f t="shared" si="4"/>
        <v>1099.51</v>
      </c>
      <c r="M18" s="269">
        <f t="shared" si="4"/>
        <v>1117.3900000000001</v>
      </c>
      <c r="N18" s="271">
        <f t="shared" si="4"/>
        <v>86.83</v>
      </c>
      <c r="O18" s="269">
        <f t="shared" si="4"/>
        <v>111.98</v>
      </c>
      <c r="P18" s="271">
        <f t="shared" si="4"/>
        <v>270.73999999999995</v>
      </c>
      <c r="Q18" s="269">
        <f t="shared" si="4"/>
        <v>280.95</v>
      </c>
      <c r="R18" s="271">
        <f t="shared" si="4"/>
        <v>556.71</v>
      </c>
      <c r="S18" s="269">
        <f t="shared" si="4"/>
        <v>0</v>
      </c>
      <c r="T18" s="271">
        <f t="shared" si="4"/>
        <v>180.54</v>
      </c>
      <c r="U18" s="269">
        <f t="shared" si="4"/>
        <v>202.36999999999998</v>
      </c>
      <c r="V18" s="271">
        <f t="shared" si="4"/>
        <v>8059.87</v>
      </c>
      <c r="W18" s="269">
        <f>SUM(W5:W17)</f>
        <v>9094.2900000000009</v>
      </c>
      <c r="X18" s="271">
        <f t="shared" si="4"/>
        <v>6380.4699999999984</v>
      </c>
      <c r="Y18" s="269">
        <f t="shared" si="4"/>
        <v>5734.6999999999989</v>
      </c>
      <c r="Z18" s="271">
        <f t="shared" si="4"/>
        <v>436.84</v>
      </c>
      <c r="AA18" s="272">
        <f t="shared" si="4"/>
        <v>444.6099999999999</v>
      </c>
      <c r="AB18" s="269">
        <f t="shared" si="4"/>
        <v>953.18999999999994</v>
      </c>
      <c r="AC18" s="269">
        <f t="shared" si="4"/>
        <v>1235.4949999999999</v>
      </c>
      <c r="AD18" s="271">
        <f t="shared" si="4"/>
        <v>1872.6599999999999</v>
      </c>
      <c r="AE18" s="269">
        <f t="shared" si="4"/>
        <v>2237.8779999999997</v>
      </c>
      <c r="AF18" s="269">
        <f t="shared" si="4"/>
        <v>4720.7300000000014</v>
      </c>
      <c r="AG18" s="269">
        <f t="shared" si="4"/>
        <v>5066.6399999999994</v>
      </c>
      <c r="AH18" s="271">
        <f t="shared" si="4"/>
        <v>1141.1099999999999</v>
      </c>
      <c r="AI18" s="269">
        <f t="shared" ref="AI18:AU18" si="5">SUM(AI5:AI17)</f>
        <v>1455.4499999999998</v>
      </c>
      <c r="AJ18" s="269">
        <f t="shared" si="5"/>
        <v>667.79</v>
      </c>
      <c r="AK18" s="269">
        <f t="shared" si="5"/>
        <v>688.38</v>
      </c>
      <c r="AL18" s="271">
        <f t="shared" si="5"/>
        <v>0</v>
      </c>
      <c r="AM18" s="269">
        <f t="shared" si="5"/>
        <v>0</v>
      </c>
      <c r="AN18" s="271">
        <f t="shared" si="5"/>
        <v>11611.210000000001</v>
      </c>
      <c r="AO18" s="269">
        <f t="shared" si="5"/>
        <v>15241.710000000003</v>
      </c>
      <c r="AP18" s="271">
        <f t="shared" si="5"/>
        <v>374.22</v>
      </c>
      <c r="AQ18" s="269">
        <f t="shared" si="5"/>
        <v>431.08199999999999</v>
      </c>
      <c r="AR18" s="271">
        <f t="shared" si="5"/>
        <v>799.50000000000011</v>
      </c>
      <c r="AS18" s="269">
        <f t="shared" si="5"/>
        <v>0</v>
      </c>
      <c r="AT18" s="271">
        <f t="shared" si="5"/>
        <v>3124.25</v>
      </c>
      <c r="AU18" s="269">
        <f t="shared" si="5"/>
        <v>4744.4799999999996</v>
      </c>
      <c r="AV18" s="274">
        <f t="shared" si="0"/>
        <v>47085.73</v>
      </c>
      <c r="AW18" s="804">
        <f t="shared" si="1"/>
        <v>54469.654999999999</v>
      </c>
      <c r="AX18" s="273">
        <f>SUM(AX5:AX17)</f>
        <v>35825.830000000009</v>
      </c>
      <c r="AY18" s="810">
        <f>SUM(AY5:AY17)</f>
        <v>38760.92</v>
      </c>
      <c r="AZ18" s="274">
        <f t="shared" si="2"/>
        <v>82911.560000000012</v>
      </c>
      <c r="BA18" s="275">
        <f t="shared" si="3"/>
        <v>93230.574999999997</v>
      </c>
    </row>
    <row r="19" spans="1:53" ht="18" thickBot="1" x14ac:dyDescent="0.4">
      <c r="A19" s="194" t="s">
        <v>11</v>
      </c>
      <c r="B19" s="195"/>
      <c r="C19" s="196"/>
      <c r="D19" s="180"/>
      <c r="E19" s="181"/>
      <c r="F19" s="180">
        <v>0.08</v>
      </c>
      <c r="G19" s="639">
        <v>0.03</v>
      </c>
      <c r="H19" s="180"/>
      <c r="I19" s="182"/>
      <c r="J19" s="180"/>
      <c r="K19" s="181"/>
      <c r="L19" s="180"/>
      <c r="M19" s="181"/>
      <c r="N19" s="180"/>
      <c r="O19" s="180"/>
      <c r="P19" s="197"/>
      <c r="Q19" s="198"/>
      <c r="R19" s="197">
        <v>5.42</v>
      </c>
      <c r="S19" s="197"/>
      <c r="T19" s="197"/>
      <c r="U19" s="199"/>
      <c r="V19" s="197"/>
      <c r="W19" s="199">
        <v>1.48</v>
      </c>
      <c r="X19" s="197"/>
      <c r="Y19" s="199"/>
      <c r="Z19" s="197"/>
      <c r="AA19" s="684"/>
      <c r="AB19" s="183"/>
      <c r="AC19" s="181"/>
      <c r="AD19" s="180">
        <v>0.13</v>
      </c>
      <c r="AE19" s="180">
        <v>1.1499999999999999</v>
      </c>
      <c r="AF19" s="183"/>
      <c r="AG19" s="181"/>
      <c r="AH19" s="180"/>
      <c r="AI19" s="180"/>
      <c r="AJ19" s="183"/>
      <c r="AK19" s="181">
        <v>1.19</v>
      </c>
      <c r="AL19" s="386"/>
      <c r="AM19" s="181"/>
      <c r="AN19" s="499"/>
      <c r="AO19" s="200"/>
      <c r="AP19" s="180"/>
      <c r="AQ19" s="181"/>
      <c r="AR19" s="185"/>
      <c r="AS19" s="184"/>
      <c r="AT19" s="180"/>
      <c r="AU19" s="181"/>
      <c r="AV19" s="186">
        <f t="shared" si="0"/>
        <v>5.63</v>
      </c>
      <c r="AW19" s="805">
        <f t="shared" si="1"/>
        <v>3.85</v>
      </c>
      <c r="AX19" s="185"/>
      <c r="AY19" s="811"/>
      <c r="AZ19" s="186">
        <f t="shared" si="2"/>
        <v>5.63</v>
      </c>
      <c r="BA19" s="187">
        <f t="shared" si="3"/>
        <v>3.85</v>
      </c>
    </row>
    <row r="20" spans="1:53" s="276" customFormat="1" ht="18.75" thickBot="1" x14ac:dyDescent="0.4">
      <c r="A20" s="277" t="s">
        <v>12</v>
      </c>
      <c r="B20" s="278">
        <f>B18+B19</f>
        <v>1616.3</v>
      </c>
      <c r="C20" s="278">
        <f t="shared" ref="C20:AH20" si="6">C18+C19</f>
        <v>2147.41</v>
      </c>
      <c r="D20" s="280">
        <f t="shared" si="6"/>
        <v>9.4699999999999989</v>
      </c>
      <c r="E20" s="278">
        <f t="shared" si="6"/>
        <v>0.65</v>
      </c>
      <c r="F20" s="280">
        <f t="shared" si="6"/>
        <v>120.21000000000001</v>
      </c>
      <c r="G20" s="279">
        <f t="shared" si="6"/>
        <v>128.82</v>
      </c>
      <c r="H20" s="280">
        <f t="shared" si="6"/>
        <v>2502.7800000000002</v>
      </c>
      <c r="I20" s="281">
        <f t="shared" si="6"/>
        <v>3596.31</v>
      </c>
      <c r="J20" s="280">
        <f t="shared" si="6"/>
        <v>500.88</v>
      </c>
      <c r="K20" s="278">
        <f t="shared" si="6"/>
        <v>509.09000000000003</v>
      </c>
      <c r="L20" s="280">
        <f t="shared" si="6"/>
        <v>1099.51</v>
      </c>
      <c r="M20" s="278">
        <f t="shared" si="6"/>
        <v>1117.3900000000001</v>
      </c>
      <c r="N20" s="280">
        <f t="shared" si="6"/>
        <v>86.83</v>
      </c>
      <c r="O20" s="278">
        <f t="shared" si="6"/>
        <v>111.98</v>
      </c>
      <c r="P20" s="280">
        <f t="shared" si="6"/>
        <v>270.73999999999995</v>
      </c>
      <c r="Q20" s="278">
        <f t="shared" si="6"/>
        <v>280.95</v>
      </c>
      <c r="R20" s="280">
        <f t="shared" si="6"/>
        <v>562.13</v>
      </c>
      <c r="S20" s="278">
        <f t="shared" si="6"/>
        <v>0</v>
      </c>
      <c r="T20" s="280">
        <f t="shared" si="6"/>
        <v>180.54</v>
      </c>
      <c r="U20" s="278">
        <f t="shared" si="6"/>
        <v>202.36999999999998</v>
      </c>
      <c r="V20" s="280">
        <f t="shared" si="6"/>
        <v>8059.87</v>
      </c>
      <c r="W20" s="278">
        <f t="shared" si="6"/>
        <v>9095.77</v>
      </c>
      <c r="X20" s="280">
        <f t="shared" si="6"/>
        <v>6380.4699999999984</v>
      </c>
      <c r="Y20" s="278">
        <f t="shared" si="6"/>
        <v>5734.6999999999989</v>
      </c>
      <c r="Z20" s="280">
        <f t="shared" si="6"/>
        <v>436.84</v>
      </c>
      <c r="AA20" s="281">
        <f t="shared" si="6"/>
        <v>444.6099999999999</v>
      </c>
      <c r="AB20" s="278">
        <f t="shared" si="6"/>
        <v>953.18999999999994</v>
      </c>
      <c r="AC20" s="278">
        <f t="shared" si="6"/>
        <v>1235.4949999999999</v>
      </c>
      <c r="AD20" s="280">
        <f t="shared" si="6"/>
        <v>1872.79</v>
      </c>
      <c r="AE20" s="278">
        <f t="shared" si="6"/>
        <v>2239.0279999999998</v>
      </c>
      <c r="AF20" s="278">
        <f t="shared" si="6"/>
        <v>4720.7300000000014</v>
      </c>
      <c r="AG20" s="278">
        <f t="shared" si="6"/>
        <v>5066.6399999999994</v>
      </c>
      <c r="AH20" s="280">
        <f t="shared" si="6"/>
        <v>1141.1099999999999</v>
      </c>
      <c r="AI20" s="278">
        <f t="shared" ref="AI20:AU20" si="7">AI18+AI19</f>
        <v>1455.4499999999998</v>
      </c>
      <c r="AJ20" s="278">
        <f t="shared" si="7"/>
        <v>667.79</v>
      </c>
      <c r="AK20" s="278">
        <f t="shared" si="7"/>
        <v>689.57</v>
      </c>
      <c r="AL20" s="280">
        <f t="shared" si="7"/>
        <v>0</v>
      </c>
      <c r="AM20" s="278">
        <f t="shared" si="7"/>
        <v>0</v>
      </c>
      <c r="AN20" s="280">
        <f t="shared" si="7"/>
        <v>11611.210000000001</v>
      </c>
      <c r="AO20" s="278">
        <f t="shared" si="7"/>
        <v>15241.710000000003</v>
      </c>
      <c r="AP20" s="280">
        <f t="shared" si="7"/>
        <v>374.22</v>
      </c>
      <c r="AQ20" s="278">
        <f t="shared" si="7"/>
        <v>431.08199999999999</v>
      </c>
      <c r="AR20" s="280">
        <f t="shared" si="7"/>
        <v>799.50000000000011</v>
      </c>
      <c r="AS20" s="278">
        <f t="shared" si="7"/>
        <v>0</v>
      </c>
      <c r="AT20" s="280">
        <f t="shared" si="7"/>
        <v>3124.25</v>
      </c>
      <c r="AU20" s="278">
        <f t="shared" si="7"/>
        <v>4744.4799999999996</v>
      </c>
      <c r="AV20" s="282">
        <f t="shared" si="0"/>
        <v>47091.360000000001</v>
      </c>
      <c r="AW20" s="806">
        <f t="shared" si="1"/>
        <v>54473.505000000005</v>
      </c>
      <c r="AX20" s="282">
        <f>AX18+AX19</f>
        <v>35825.830000000009</v>
      </c>
      <c r="AY20" s="283">
        <f>AY18+AY19</f>
        <v>38760.92</v>
      </c>
      <c r="AZ20" s="282">
        <f t="shared" si="2"/>
        <v>82917.19</v>
      </c>
      <c r="BA20" s="283">
        <f t="shared" si="3"/>
        <v>93234.425000000003</v>
      </c>
    </row>
    <row r="21" spans="1:53" x14ac:dyDescent="0.3">
      <c r="AT21" s="53"/>
      <c r="AU21" s="53"/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horizontalDpi="4294967293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BB20"/>
  <sheetViews>
    <sheetView workbookViewId="0">
      <pane xSplit="1" topLeftCell="B1" activePane="topRight" state="frozen"/>
      <selection pane="topRight" sqref="A1:XFD1048576"/>
    </sheetView>
  </sheetViews>
  <sheetFormatPr defaultRowHeight="14.25" x14ac:dyDescent="0.3"/>
  <cols>
    <col min="1" max="1" width="24.28515625" style="6" bestFit="1" customWidth="1"/>
    <col min="2" max="25" width="15" style="6" bestFit="1" customWidth="1"/>
    <col min="26" max="27" width="15" style="20" bestFit="1" customWidth="1"/>
    <col min="28" max="53" width="15" style="6" bestFit="1" customWidth="1"/>
    <col min="54" max="54" width="9.5703125" style="6" bestFit="1" customWidth="1"/>
    <col min="55" max="16384" width="9.140625" style="6"/>
  </cols>
  <sheetData>
    <row r="1" spans="1:54" ht="28.5" customHeight="1" x14ac:dyDescent="0.3">
      <c r="A1" s="1028" t="s">
        <v>112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  <c r="R1" s="1028"/>
      <c r="S1" s="1028"/>
      <c r="T1" s="1028"/>
      <c r="U1" s="1028"/>
      <c r="V1" s="1028"/>
      <c r="W1" s="1028"/>
      <c r="X1" s="1028"/>
      <c r="Y1" s="1028"/>
      <c r="Z1" s="1028"/>
      <c r="AA1" s="1028"/>
      <c r="AB1" s="1028"/>
      <c r="AC1" s="1028"/>
      <c r="AD1" s="1028"/>
      <c r="AE1" s="1028"/>
      <c r="AF1" s="1028"/>
      <c r="AG1" s="1028"/>
      <c r="AH1" s="1028"/>
      <c r="AI1" s="1028"/>
      <c r="AJ1" s="1028"/>
      <c r="AK1" s="1028"/>
      <c r="AL1" s="1028"/>
      <c r="AM1" s="1028"/>
      <c r="AN1" s="1028"/>
      <c r="AO1" s="1028"/>
      <c r="AP1" s="1028"/>
      <c r="AQ1" s="1028"/>
      <c r="AR1" s="1028"/>
      <c r="AS1" s="1028"/>
      <c r="AT1" s="1028"/>
      <c r="AU1" s="1028"/>
      <c r="AV1" s="1028"/>
      <c r="AW1" s="1028"/>
      <c r="AX1" s="1028"/>
      <c r="AY1" s="1028"/>
      <c r="AZ1" s="1028"/>
      <c r="BA1" s="22"/>
    </row>
    <row r="2" spans="1:54" ht="15" thickBot="1" x14ac:dyDescent="0.35">
      <c r="A2" s="982"/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  <c r="AK2" s="982"/>
      <c r="AL2" s="982"/>
      <c r="AM2" s="982"/>
      <c r="AN2" s="982"/>
      <c r="AO2" s="982"/>
      <c r="AP2" s="982"/>
      <c r="AQ2" s="982"/>
      <c r="AR2" s="982"/>
      <c r="AS2" s="982"/>
      <c r="AT2" s="982"/>
      <c r="AU2" s="982"/>
      <c r="AV2" s="982"/>
      <c r="AW2" s="982"/>
      <c r="AX2" s="982"/>
      <c r="AY2" s="982"/>
      <c r="AZ2" s="982"/>
      <c r="BA2" s="23"/>
    </row>
    <row r="3" spans="1:54" ht="27.75" customHeight="1" thickBot="1" x14ac:dyDescent="0.35">
      <c r="A3" s="1029" t="s">
        <v>14</v>
      </c>
      <c r="B3" s="1031" t="s">
        <v>113</v>
      </c>
      <c r="C3" s="1032"/>
      <c r="D3" s="1025" t="s">
        <v>114</v>
      </c>
      <c r="E3" s="1026"/>
      <c r="F3" s="1024" t="s">
        <v>115</v>
      </c>
      <c r="G3" s="1024"/>
      <c r="H3" s="1025" t="s">
        <v>116</v>
      </c>
      <c r="I3" s="1026"/>
      <c r="J3" s="1024" t="s">
        <v>117</v>
      </c>
      <c r="K3" s="1024"/>
      <c r="L3" s="1025" t="s">
        <v>118</v>
      </c>
      <c r="M3" s="1026"/>
      <c r="N3" s="1024" t="s">
        <v>218</v>
      </c>
      <c r="O3" s="1024"/>
      <c r="P3" s="1025" t="s">
        <v>119</v>
      </c>
      <c r="Q3" s="1024"/>
      <c r="R3" s="1025" t="s">
        <v>120</v>
      </c>
      <c r="S3" s="1026"/>
      <c r="T3" s="1024" t="s">
        <v>121</v>
      </c>
      <c r="U3" s="1024"/>
      <c r="V3" s="1025" t="s">
        <v>122</v>
      </c>
      <c r="W3" s="1026"/>
      <c r="X3" s="1024" t="s">
        <v>123</v>
      </c>
      <c r="Y3" s="1024"/>
      <c r="Z3" s="927" t="s">
        <v>224</v>
      </c>
      <c r="AA3" s="1027"/>
      <c r="AB3" s="1025" t="s">
        <v>124</v>
      </c>
      <c r="AC3" s="1026"/>
      <c r="AD3" s="1024" t="s">
        <v>125</v>
      </c>
      <c r="AE3" s="1024"/>
      <c r="AF3" s="1025" t="s">
        <v>126</v>
      </c>
      <c r="AG3" s="1026"/>
      <c r="AH3" s="1025" t="s">
        <v>127</v>
      </c>
      <c r="AI3" s="1026"/>
      <c r="AJ3" s="1024" t="s">
        <v>128</v>
      </c>
      <c r="AK3" s="1024"/>
      <c r="AL3" s="1024" t="s">
        <v>129</v>
      </c>
      <c r="AM3" s="1024"/>
      <c r="AN3" s="1025" t="s">
        <v>130</v>
      </c>
      <c r="AO3" s="1026"/>
      <c r="AP3" s="1033" t="s">
        <v>131</v>
      </c>
      <c r="AQ3" s="939"/>
      <c r="AR3" s="938" t="s">
        <v>132</v>
      </c>
      <c r="AS3" s="938"/>
      <c r="AT3" s="1033" t="s">
        <v>133</v>
      </c>
      <c r="AU3" s="938"/>
      <c r="AV3" s="1033" t="s">
        <v>1</v>
      </c>
      <c r="AW3" s="938"/>
      <c r="AX3" s="1033" t="s">
        <v>134</v>
      </c>
      <c r="AY3" s="939"/>
      <c r="AZ3" s="1033" t="s">
        <v>2</v>
      </c>
      <c r="BA3" s="939"/>
    </row>
    <row r="4" spans="1:54" ht="15" thickBot="1" x14ac:dyDescent="0.35">
      <c r="A4" s="1030"/>
      <c r="B4" s="318" t="s">
        <v>325</v>
      </c>
      <c r="C4" s="319" t="s">
        <v>388</v>
      </c>
      <c r="D4" s="318" t="s">
        <v>325</v>
      </c>
      <c r="E4" s="319" t="s">
        <v>388</v>
      </c>
      <c r="F4" s="318" t="s">
        <v>325</v>
      </c>
      <c r="G4" s="319" t="s">
        <v>388</v>
      </c>
      <c r="H4" s="318" t="s">
        <v>325</v>
      </c>
      <c r="I4" s="319" t="s">
        <v>388</v>
      </c>
      <c r="J4" s="318" t="s">
        <v>325</v>
      </c>
      <c r="K4" s="319" t="s">
        <v>388</v>
      </c>
      <c r="L4" s="318" t="s">
        <v>325</v>
      </c>
      <c r="M4" s="319" t="s">
        <v>388</v>
      </c>
      <c r="N4" s="318" t="s">
        <v>325</v>
      </c>
      <c r="O4" s="319" t="s">
        <v>388</v>
      </c>
      <c r="P4" s="318" t="s">
        <v>325</v>
      </c>
      <c r="Q4" s="319" t="s">
        <v>388</v>
      </c>
      <c r="R4" s="318" t="s">
        <v>325</v>
      </c>
      <c r="S4" s="319" t="s">
        <v>388</v>
      </c>
      <c r="T4" s="318" t="s">
        <v>325</v>
      </c>
      <c r="U4" s="319" t="s">
        <v>388</v>
      </c>
      <c r="V4" s="318" t="s">
        <v>325</v>
      </c>
      <c r="W4" s="319" t="s">
        <v>388</v>
      </c>
      <c r="X4" s="318" t="s">
        <v>325</v>
      </c>
      <c r="Y4" s="319" t="s">
        <v>388</v>
      </c>
      <c r="Z4" s="318" t="s">
        <v>325</v>
      </c>
      <c r="AA4" s="319" t="s">
        <v>388</v>
      </c>
      <c r="AB4" s="318" t="s">
        <v>325</v>
      </c>
      <c r="AC4" s="319" t="s">
        <v>388</v>
      </c>
      <c r="AD4" s="318" t="s">
        <v>325</v>
      </c>
      <c r="AE4" s="319" t="s">
        <v>388</v>
      </c>
      <c r="AF4" s="318" t="s">
        <v>325</v>
      </c>
      <c r="AG4" s="319" t="s">
        <v>388</v>
      </c>
      <c r="AH4" s="318" t="s">
        <v>325</v>
      </c>
      <c r="AI4" s="319" t="s">
        <v>388</v>
      </c>
      <c r="AJ4" s="318" t="s">
        <v>325</v>
      </c>
      <c r="AK4" s="319" t="s">
        <v>388</v>
      </c>
      <c r="AL4" s="318" t="s">
        <v>325</v>
      </c>
      <c r="AM4" s="319" t="s">
        <v>388</v>
      </c>
      <c r="AN4" s="318" t="s">
        <v>325</v>
      </c>
      <c r="AO4" s="319" t="s">
        <v>388</v>
      </c>
      <c r="AP4" s="318" t="s">
        <v>325</v>
      </c>
      <c r="AQ4" s="319" t="s">
        <v>388</v>
      </c>
      <c r="AR4" s="318" t="s">
        <v>325</v>
      </c>
      <c r="AS4" s="319" t="s">
        <v>388</v>
      </c>
      <c r="AT4" s="318" t="s">
        <v>325</v>
      </c>
      <c r="AU4" s="319" t="s">
        <v>388</v>
      </c>
      <c r="AV4" s="318" t="s">
        <v>325</v>
      </c>
      <c r="AW4" s="319" t="s">
        <v>388</v>
      </c>
      <c r="AX4" s="318" t="s">
        <v>325</v>
      </c>
      <c r="AY4" s="319" t="s">
        <v>388</v>
      </c>
      <c r="AZ4" s="318" t="s">
        <v>325</v>
      </c>
      <c r="BA4" s="320" t="s">
        <v>388</v>
      </c>
    </row>
    <row r="5" spans="1:54" ht="15" x14ac:dyDescent="0.3">
      <c r="A5" s="24" t="s">
        <v>3</v>
      </c>
      <c r="B5" s="25">
        <v>63505</v>
      </c>
      <c r="C5" s="26">
        <v>57416</v>
      </c>
      <c r="D5" s="30">
        <v>-4</v>
      </c>
      <c r="E5" s="29"/>
      <c r="F5" s="27">
        <v>2419</v>
      </c>
      <c r="G5" s="28">
        <v>1952</v>
      </c>
      <c r="H5" s="30">
        <v>96004</v>
      </c>
      <c r="I5" s="29">
        <v>132817</v>
      </c>
      <c r="J5" s="27">
        <v>35262</v>
      </c>
      <c r="K5" s="28">
        <v>32442</v>
      </c>
      <c r="L5" s="30">
        <v>474</v>
      </c>
      <c r="M5" s="29">
        <v>294</v>
      </c>
      <c r="N5" s="27">
        <v>6962</v>
      </c>
      <c r="O5" s="28">
        <v>8127</v>
      </c>
      <c r="P5" s="30">
        <v>20545</v>
      </c>
      <c r="Q5" s="619">
        <v>15624</v>
      </c>
      <c r="R5" s="30">
        <v>36810</v>
      </c>
      <c r="S5" s="29"/>
      <c r="T5" s="27">
        <v>3307</v>
      </c>
      <c r="U5" s="619">
        <v>5660</v>
      </c>
      <c r="V5" s="30">
        <v>105058</v>
      </c>
      <c r="W5" s="29">
        <v>125987</v>
      </c>
      <c r="X5" s="27">
        <v>119420</v>
      </c>
      <c r="Y5" s="28">
        <v>123957</v>
      </c>
      <c r="Z5" s="32">
        <v>3129</v>
      </c>
      <c r="AA5" s="622">
        <v>2268</v>
      </c>
      <c r="AB5" s="30">
        <v>6192</v>
      </c>
      <c r="AC5" s="29">
        <v>6990</v>
      </c>
      <c r="AD5" s="27">
        <v>49684</v>
      </c>
      <c r="AE5" s="619">
        <v>77220</v>
      </c>
      <c r="AF5" s="30">
        <v>71896</v>
      </c>
      <c r="AG5" s="29">
        <v>73551</v>
      </c>
      <c r="AH5" s="30">
        <v>5887</v>
      </c>
      <c r="AI5" s="29">
        <v>12460</v>
      </c>
      <c r="AJ5" s="153">
        <v>40612</v>
      </c>
      <c r="AK5" s="154">
        <v>34389</v>
      </c>
      <c r="AL5" s="224"/>
      <c r="AM5" s="556"/>
      <c r="AN5" s="625">
        <v>427748</v>
      </c>
      <c r="AO5" s="626">
        <v>491556</v>
      </c>
      <c r="AP5" s="30">
        <v>3367</v>
      </c>
      <c r="AQ5" s="29">
        <v>2853</v>
      </c>
      <c r="AR5" s="33">
        <v>5</v>
      </c>
      <c r="AS5" s="34"/>
      <c r="AT5" s="30">
        <v>86836</v>
      </c>
      <c r="AU5" s="28">
        <v>114686</v>
      </c>
      <c r="AV5" s="222">
        <f t="shared" ref="AV5:AV20" si="0">SUM(B5+D5+F5+H5+J5+L5+N5+P5+R5+T5+V5+X5+Z5+AB5+AD5+AF5+AH5+AJ5+AL5+AN5+AP5+AR5+AT5)</f>
        <v>1185118</v>
      </c>
      <c r="AW5" s="222">
        <f t="shared" ref="AW5:AW20" si="1">SUM(C5+E5+G5+I5+K5+M5+O5+Q5+S5+U5+W5+Y5+AA5+AC5+AE5+AG5+AI5+AK5+AM5+AO5+AQ5+AS5+AU5)</f>
        <v>1320249</v>
      </c>
      <c r="AX5" s="223">
        <v>11912812</v>
      </c>
      <c r="AY5" s="580">
        <v>12411518</v>
      </c>
      <c r="AZ5" s="222">
        <f t="shared" ref="AZ5:AZ20" si="2">AV5+AX5</f>
        <v>13097930</v>
      </c>
      <c r="BA5" s="35">
        <f t="shared" ref="BA5:BA20" si="3">AW5+AY5</f>
        <v>13731767</v>
      </c>
      <c r="BB5" s="36"/>
    </row>
    <row r="6" spans="1:54" ht="15" x14ac:dyDescent="0.3">
      <c r="A6" s="24" t="s">
        <v>4</v>
      </c>
      <c r="B6" s="37">
        <v>80408</v>
      </c>
      <c r="C6" s="26">
        <v>88747</v>
      </c>
      <c r="D6" s="11"/>
      <c r="E6" s="29"/>
      <c r="F6" s="13">
        <v>7093</v>
      </c>
      <c r="G6" s="28">
        <v>11369</v>
      </c>
      <c r="H6" s="11">
        <v>116278</v>
      </c>
      <c r="I6" s="29">
        <v>145647</v>
      </c>
      <c r="J6" s="13">
        <v>6985</v>
      </c>
      <c r="K6" s="28">
        <v>8212</v>
      </c>
      <c r="L6" s="11">
        <v>98799</v>
      </c>
      <c r="M6" s="14">
        <v>102643</v>
      </c>
      <c r="N6" s="13">
        <v>14</v>
      </c>
      <c r="O6" s="28">
        <v>-1</v>
      </c>
      <c r="P6" s="11">
        <v>6529</v>
      </c>
      <c r="Q6" s="619">
        <v>7788</v>
      </c>
      <c r="R6" s="11">
        <v>6548</v>
      </c>
      <c r="S6" s="29"/>
      <c r="T6" s="13">
        <v>4144</v>
      </c>
      <c r="U6" s="619">
        <v>4804</v>
      </c>
      <c r="V6" s="11">
        <v>299072</v>
      </c>
      <c r="W6" s="29">
        <v>300217</v>
      </c>
      <c r="X6" s="13">
        <v>204125</v>
      </c>
      <c r="Y6" s="28">
        <v>155844</v>
      </c>
      <c r="Z6" s="38">
        <v>22855</v>
      </c>
      <c r="AA6" s="622">
        <v>24891</v>
      </c>
      <c r="AB6" s="11">
        <v>141557</v>
      </c>
      <c r="AC6" s="29">
        <v>188868</v>
      </c>
      <c r="AD6" s="13">
        <v>75159</v>
      </c>
      <c r="AE6" s="619">
        <v>67028</v>
      </c>
      <c r="AF6" s="11">
        <v>218115</v>
      </c>
      <c r="AG6" s="29">
        <v>190359</v>
      </c>
      <c r="AH6" s="11">
        <v>108973</v>
      </c>
      <c r="AI6" s="29">
        <v>130809</v>
      </c>
      <c r="AJ6" s="153">
        <v>3187</v>
      </c>
      <c r="AK6" s="154">
        <v>4526</v>
      </c>
      <c r="AL6" s="225"/>
      <c r="AM6" s="158"/>
      <c r="AN6" s="627">
        <v>791568</v>
      </c>
      <c r="AO6" s="628">
        <v>966378</v>
      </c>
      <c r="AP6" s="11">
        <v>560</v>
      </c>
      <c r="AQ6" s="29"/>
      <c r="AR6" s="15">
        <v>88938</v>
      </c>
      <c r="AS6" s="34"/>
      <c r="AT6" s="11">
        <v>143830</v>
      </c>
      <c r="AU6" s="28">
        <v>173992</v>
      </c>
      <c r="AV6" s="222">
        <f t="shared" si="0"/>
        <v>2424737</v>
      </c>
      <c r="AW6" s="222">
        <f t="shared" si="1"/>
        <v>2572121</v>
      </c>
      <c r="AX6" s="157">
        <v>139819</v>
      </c>
      <c r="AY6" s="580">
        <v>152610</v>
      </c>
      <c r="AZ6" s="222">
        <f t="shared" si="2"/>
        <v>2564556</v>
      </c>
      <c r="BA6" s="35">
        <f t="shared" si="3"/>
        <v>2724731</v>
      </c>
    </row>
    <row r="7" spans="1:54" ht="15" x14ac:dyDescent="0.3">
      <c r="A7" s="24" t="s">
        <v>5</v>
      </c>
      <c r="B7" s="37">
        <v>322</v>
      </c>
      <c r="C7" s="26">
        <v>327</v>
      </c>
      <c r="D7" s="11">
        <v>-2</v>
      </c>
      <c r="E7" s="29">
        <v>-11</v>
      </c>
      <c r="F7" s="13">
        <v>584</v>
      </c>
      <c r="G7" s="28">
        <v>442</v>
      </c>
      <c r="H7" s="11">
        <v>22934</v>
      </c>
      <c r="I7" s="29">
        <v>17008</v>
      </c>
      <c r="J7" s="13">
        <v>11697</v>
      </c>
      <c r="K7" s="28">
        <v>7894</v>
      </c>
      <c r="L7" s="11">
        <v>109</v>
      </c>
      <c r="M7" s="14">
        <v>3597</v>
      </c>
      <c r="N7" s="13">
        <v>2633</v>
      </c>
      <c r="O7" s="28">
        <v>5527</v>
      </c>
      <c r="P7" s="11">
        <v>2895</v>
      </c>
      <c r="Q7" s="619">
        <v>2732</v>
      </c>
      <c r="R7" s="11">
        <v>1831</v>
      </c>
      <c r="S7" s="29"/>
      <c r="T7" s="13">
        <v>1528</v>
      </c>
      <c r="U7" s="619">
        <v>2985</v>
      </c>
      <c r="V7" s="11">
        <v>36757</v>
      </c>
      <c r="W7" s="29">
        <v>46891</v>
      </c>
      <c r="X7" s="13">
        <v>20430</v>
      </c>
      <c r="Y7" s="28">
        <v>19747</v>
      </c>
      <c r="Z7" s="38"/>
      <c r="AA7" s="622"/>
      <c r="AB7" s="11">
        <v>3287</v>
      </c>
      <c r="AC7" s="29">
        <v>870</v>
      </c>
      <c r="AD7" s="13">
        <v>956</v>
      </c>
      <c r="AE7" s="619">
        <v>2736</v>
      </c>
      <c r="AF7" s="11">
        <v>4897</v>
      </c>
      <c r="AG7" s="29">
        <v>7335</v>
      </c>
      <c r="AH7" s="11">
        <v>5447</v>
      </c>
      <c r="AI7" s="29">
        <v>4831</v>
      </c>
      <c r="AJ7" s="153">
        <v>8415</v>
      </c>
      <c r="AK7" s="154">
        <v>11115</v>
      </c>
      <c r="AL7" s="225"/>
      <c r="AM7" s="158"/>
      <c r="AN7" s="627">
        <v>54900</v>
      </c>
      <c r="AO7" s="628">
        <v>87923</v>
      </c>
      <c r="AP7" s="11">
        <v>96835</v>
      </c>
      <c r="AQ7" s="29">
        <v>106186</v>
      </c>
      <c r="AR7" s="15"/>
      <c r="AS7" s="34"/>
      <c r="AT7" s="11">
        <v>3267</v>
      </c>
      <c r="AU7" s="28">
        <v>5406</v>
      </c>
      <c r="AV7" s="222">
        <f t="shared" si="0"/>
        <v>279722</v>
      </c>
      <c r="AW7" s="222">
        <f t="shared" si="1"/>
        <v>333541</v>
      </c>
      <c r="AX7" s="157">
        <v>18141</v>
      </c>
      <c r="AY7" s="580">
        <v>19147</v>
      </c>
      <c r="AZ7" s="222">
        <f t="shared" si="2"/>
        <v>297863</v>
      </c>
      <c r="BA7" s="35">
        <f t="shared" si="3"/>
        <v>352688</v>
      </c>
    </row>
    <row r="8" spans="1:54" ht="15" x14ac:dyDescent="0.3">
      <c r="A8" s="24" t="s">
        <v>6</v>
      </c>
      <c r="B8" s="37">
        <v>981</v>
      </c>
      <c r="C8" s="26">
        <v>2729</v>
      </c>
      <c r="D8" s="11">
        <v>2680</v>
      </c>
      <c r="E8" s="29">
        <v>772</v>
      </c>
      <c r="F8" s="13">
        <v>100</v>
      </c>
      <c r="G8" s="28">
        <v>524</v>
      </c>
      <c r="H8" s="11">
        <v>31303</v>
      </c>
      <c r="I8" s="29">
        <v>69045</v>
      </c>
      <c r="J8" s="13">
        <v>11344</v>
      </c>
      <c r="K8" s="28">
        <v>11447</v>
      </c>
      <c r="L8" s="11">
        <v>2029</v>
      </c>
      <c r="M8" s="14">
        <v>4198</v>
      </c>
      <c r="N8" s="13">
        <v>-2</v>
      </c>
      <c r="O8" s="28"/>
      <c r="P8" s="11">
        <v>1967</v>
      </c>
      <c r="Q8" s="619">
        <v>888</v>
      </c>
      <c r="R8" s="11">
        <v>27147</v>
      </c>
      <c r="S8" s="29"/>
      <c r="T8" s="13">
        <v>444</v>
      </c>
      <c r="U8" s="619">
        <v>973</v>
      </c>
      <c r="V8" s="11">
        <v>43380</v>
      </c>
      <c r="W8" s="29">
        <v>55511</v>
      </c>
      <c r="X8" s="13">
        <v>30302</v>
      </c>
      <c r="Y8" s="28">
        <v>44691</v>
      </c>
      <c r="Z8" s="38">
        <v>1016</v>
      </c>
      <c r="AA8" s="622">
        <v>843</v>
      </c>
      <c r="AB8" s="11">
        <v>4425</v>
      </c>
      <c r="AC8" s="29">
        <v>7775</v>
      </c>
      <c r="AD8" s="13">
        <v>5145</v>
      </c>
      <c r="AE8" s="619">
        <v>8045</v>
      </c>
      <c r="AF8" s="11">
        <v>37257</v>
      </c>
      <c r="AG8" s="29">
        <v>48985</v>
      </c>
      <c r="AH8" s="11">
        <v>3813</v>
      </c>
      <c r="AI8" s="29">
        <v>20229</v>
      </c>
      <c r="AJ8" s="153">
        <v>3873</v>
      </c>
      <c r="AK8" s="154">
        <v>4946</v>
      </c>
      <c r="AL8" s="225"/>
      <c r="AM8" s="158"/>
      <c r="AN8" s="629">
        <v>432</v>
      </c>
      <c r="AO8" s="628">
        <v>909</v>
      </c>
      <c r="AP8" s="11">
        <v>18613</v>
      </c>
      <c r="AQ8" s="29">
        <v>21864</v>
      </c>
      <c r="AR8" s="15">
        <v>2</v>
      </c>
      <c r="AS8" s="34"/>
      <c r="AT8" s="11">
        <v>67328</v>
      </c>
      <c r="AU8" s="28">
        <v>117700</v>
      </c>
      <c r="AV8" s="222">
        <f t="shared" si="0"/>
        <v>293579</v>
      </c>
      <c r="AW8" s="222">
        <f t="shared" si="1"/>
        <v>422074</v>
      </c>
      <c r="AX8" s="157">
        <v>827</v>
      </c>
      <c r="AY8" s="580">
        <v>2699</v>
      </c>
      <c r="AZ8" s="222">
        <f t="shared" si="2"/>
        <v>294406</v>
      </c>
      <c r="BA8" s="35">
        <f t="shared" si="3"/>
        <v>424773</v>
      </c>
    </row>
    <row r="9" spans="1:54" ht="15" x14ac:dyDescent="0.3">
      <c r="A9" s="24" t="s">
        <v>7</v>
      </c>
      <c r="B9" s="37"/>
      <c r="C9" s="26"/>
      <c r="D9" s="11"/>
      <c r="E9" s="29"/>
      <c r="F9" s="13"/>
      <c r="G9" s="28"/>
      <c r="H9" s="11"/>
      <c r="I9" s="29"/>
      <c r="J9" s="13"/>
      <c r="K9" s="28"/>
      <c r="L9" s="11"/>
      <c r="M9" s="14"/>
      <c r="N9" s="13"/>
      <c r="O9" s="28"/>
      <c r="P9" s="11"/>
      <c r="Q9" s="619"/>
      <c r="R9" s="11"/>
      <c r="S9" s="29"/>
      <c r="T9" s="13"/>
      <c r="U9" s="619"/>
      <c r="V9" s="11"/>
      <c r="W9" s="29"/>
      <c r="X9" s="13"/>
      <c r="Y9" s="28">
        <v>2984</v>
      </c>
      <c r="Z9" s="38"/>
      <c r="AA9" s="622"/>
      <c r="AB9" s="11"/>
      <c r="AC9" s="29"/>
      <c r="AD9" s="430">
        <v>3372</v>
      </c>
      <c r="AE9" s="619">
        <v>1129</v>
      </c>
      <c r="AF9" s="11"/>
      <c r="AG9" s="29"/>
      <c r="AH9" s="11"/>
      <c r="AI9" s="29"/>
      <c r="AJ9" s="153"/>
      <c r="AK9" s="154"/>
      <c r="AL9" s="225"/>
      <c r="AM9" s="158"/>
      <c r="AN9" s="630"/>
      <c r="AO9" s="628"/>
      <c r="AP9" s="11"/>
      <c r="AQ9" s="29"/>
      <c r="AR9" s="15"/>
      <c r="AS9" s="34"/>
      <c r="AT9" s="11">
        <v>11380</v>
      </c>
      <c r="AU9" s="28">
        <v>6983</v>
      </c>
      <c r="AV9" s="222">
        <f t="shared" si="0"/>
        <v>14752</v>
      </c>
      <c r="AW9" s="222">
        <f t="shared" si="1"/>
        <v>11096</v>
      </c>
      <c r="AX9" s="11">
        <v>526587</v>
      </c>
      <c r="AY9" s="580">
        <v>226184</v>
      </c>
      <c r="AZ9" s="30">
        <f t="shared" si="2"/>
        <v>541339</v>
      </c>
      <c r="BA9" s="433">
        <f t="shared" si="3"/>
        <v>237280</v>
      </c>
    </row>
    <row r="10" spans="1:54" ht="15" x14ac:dyDescent="0.3">
      <c r="A10" s="24" t="s">
        <v>15</v>
      </c>
      <c r="B10" s="37"/>
      <c r="C10" s="26"/>
      <c r="D10" s="11"/>
      <c r="E10" s="29"/>
      <c r="F10" s="13"/>
      <c r="G10" s="28"/>
      <c r="H10" s="11"/>
      <c r="I10" s="29"/>
      <c r="J10" s="13"/>
      <c r="K10" s="28"/>
      <c r="L10" s="11"/>
      <c r="M10" s="14"/>
      <c r="N10" s="13"/>
      <c r="O10" s="28"/>
      <c r="P10" s="11"/>
      <c r="Q10" s="619"/>
      <c r="R10" s="11"/>
      <c r="S10" s="29"/>
      <c r="T10" s="13"/>
      <c r="U10" s="619"/>
      <c r="V10" s="11"/>
      <c r="W10" s="29"/>
      <c r="X10" s="13"/>
      <c r="Y10" s="28"/>
      <c r="Z10" s="11"/>
      <c r="AA10" s="622"/>
      <c r="AB10" s="11">
        <v>10552</v>
      </c>
      <c r="AC10" s="29">
        <v>7742</v>
      </c>
      <c r="AD10" s="13">
        <v>2392</v>
      </c>
      <c r="AE10" s="619">
        <v>6089</v>
      </c>
      <c r="AF10" s="11"/>
      <c r="AG10" s="29"/>
      <c r="AH10" s="11"/>
      <c r="AI10" s="29"/>
      <c r="AJ10" s="153"/>
      <c r="AK10" s="154"/>
      <c r="AL10" s="225"/>
      <c r="AM10" s="158"/>
      <c r="AN10" s="630"/>
      <c r="AO10" s="628"/>
      <c r="AP10" s="11"/>
      <c r="AQ10" s="29"/>
      <c r="AR10" s="15"/>
      <c r="AS10" s="34"/>
      <c r="AT10" s="11"/>
      <c r="AU10" s="28"/>
      <c r="AV10" s="222">
        <f t="shared" si="0"/>
        <v>12944</v>
      </c>
      <c r="AW10" s="222">
        <f t="shared" si="1"/>
        <v>13831</v>
      </c>
      <c r="AX10" s="157">
        <v>27634</v>
      </c>
      <c r="AY10" s="580">
        <v>53303</v>
      </c>
      <c r="AZ10" s="222">
        <f t="shared" si="2"/>
        <v>40578</v>
      </c>
      <c r="BA10" s="35">
        <f t="shared" si="3"/>
        <v>67134</v>
      </c>
    </row>
    <row r="11" spans="1:54" ht="15" x14ac:dyDescent="0.3">
      <c r="A11" s="791" t="s">
        <v>8</v>
      </c>
      <c r="B11" s="37"/>
      <c r="C11" s="26"/>
      <c r="D11" s="11"/>
      <c r="E11" s="29"/>
      <c r="F11" s="13"/>
      <c r="G11" s="28"/>
      <c r="H11" s="11"/>
      <c r="I11" s="29"/>
      <c r="J11" s="13"/>
      <c r="K11" s="28"/>
      <c r="L11" s="11"/>
      <c r="M11" s="14"/>
      <c r="N11" s="13"/>
      <c r="O11" s="28"/>
      <c r="P11" s="11"/>
      <c r="Q11" s="619"/>
      <c r="R11" s="11"/>
      <c r="S11" s="29"/>
      <c r="T11" s="13"/>
      <c r="U11" s="619"/>
      <c r="V11" s="11"/>
      <c r="W11" s="29"/>
      <c r="X11" s="13"/>
      <c r="Y11" s="28"/>
      <c r="Z11" s="11"/>
      <c r="AA11" s="622"/>
      <c r="AB11" s="11"/>
      <c r="AC11" s="29"/>
      <c r="AD11" s="13"/>
      <c r="AE11" s="619"/>
      <c r="AF11" s="11"/>
      <c r="AG11" s="29"/>
      <c r="AH11" s="11"/>
      <c r="AI11" s="29"/>
      <c r="AJ11" s="153"/>
      <c r="AK11" s="154"/>
      <c r="AL11" s="225"/>
      <c r="AM11" s="158"/>
      <c r="AN11" s="627"/>
      <c r="AO11" s="628"/>
      <c r="AP11" s="11"/>
      <c r="AQ11" s="29"/>
      <c r="AR11" s="15"/>
      <c r="AS11" s="34"/>
      <c r="AT11" s="11"/>
      <c r="AU11" s="28"/>
      <c r="AV11" s="222">
        <f t="shared" si="0"/>
        <v>0</v>
      </c>
      <c r="AW11" s="222">
        <f t="shared" si="1"/>
        <v>0</v>
      </c>
      <c r="AX11" s="157"/>
      <c r="AY11" s="580"/>
      <c r="AZ11" s="222">
        <f t="shared" si="2"/>
        <v>0</v>
      </c>
      <c r="BA11" s="35">
        <f t="shared" si="3"/>
        <v>0</v>
      </c>
    </row>
    <row r="12" spans="1:54" ht="15" x14ac:dyDescent="0.3">
      <c r="A12" s="24" t="s">
        <v>328</v>
      </c>
      <c r="B12" s="37">
        <v>1229</v>
      </c>
      <c r="C12" s="26">
        <v>4415</v>
      </c>
      <c r="D12" s="11">
        <v>1489</v>
      </c>
      <c r="E12" s="29">
        <v>745</v>
      </c>
      <c r="F12" s="13">
        <v>86</v>
      </c>
      <c r="G12" s="28">
        <v>14</v>
      </c>
      <c r="H12" s="11">
        <v>2333</v>
      </c>
      <c r="I12" s="29">
        <v>2546</v>
      </c>
      <c r="J12" s="13">
        <v>6234</v>
      </c>
      <c r="K12" s="28">
        <v>4951</v>
      </c>
      <c r="L12" s="11">
        <v>2142</v>
      </c>
      <c r="M12" s="14">
        <v>1122</v>
      </c>
      <c r="N12" s="13"/>
      <c r="O12" s="28"/>
      <c r="P12" s="11">
        <v>1339</v>
      </c>
      <c r="Q12" s="619">
        <v>879</v>
      </c>
      <c r="R12" s="11"/>
      <c r="S12" s="29"/>
      <c r="T12" s="13">
        <v>65</v>
      </c>
      <c r="U12" s="619">
        <v>56</v>
      </c>
      <c r="V12" s="11">
        <v>94296</v>
      </c>
      <c r="W12" s="29">
        <v>53691</v>
      </c>
      <c r="X12" s="13">
        <v>17911</v>
      </c>
      <c r="Y12" s="28">
        <v>13344</v>
      </c>
      <c r="Z12" s="11">
        <v>9</v>
      </c>
      <c r="AA12" s="622">
        <v>2</v>
      </c>
      <c r="AB12" s="11"/>
      <c r="AC12" s="29"/>
      <c r="AD12" s="13">
        <v>1506</v>
      </c>
      <c r="AE12" s="619">
        <v>3054</v>
      </c>
      <c r="AF12" s="11">
        <v>26378</v>
      </c>
      <c r="AG12" s="29">
        <v>22681</v>
      </c>
      <c r="AH12" s="11">
        <v>816</v>
      </c>
      <c r="AI12" s="29">
        <v>471</v>
      </c>
      <c r="AJ12" s="153">
        <v>14</v>
      </c>
      <c r="AK12" s="154"/>
      <c r="AL12" s="225"/>
      <c r="AM12" s="158"/>
      <c r="AN12" s="627">
        <v>25749</v>
      </c>
      <c r="AO12" s="628">
        <v>5244</v>
      </c>
      <c r="AP12" s="11">
        <v>3341</v>
      </c>
      <c r="AQ12" s="29">
        <v>4136</v>
      </c>
      <c r="AR12" s="15"/>
      <c r="AS12" s="34"/>
      <c r="AT12" s="11">
        <v>4391</v>
      </c>
      <c r="AU12" s="28">
        <v>6262</v>
      </c>
      <c r="AV12" s="222"/>
      <c r="AW12" s="222"/>
      <c r="AX12" s="157">
        <v>10499</v>
      </c>
      <c r="AY12" s="580">
        <v>10035</v>
      </c>
      <c r="AZ12" s="222"/>
      <c r="BA12" s="35"/>
    </row>
    <row r="13" spans="1:54" ht="15" x14ac:dyDescent="0.3">
      <c r="A13" s="24" t="s">
        <v>329</v>
      </c>
      <c r="B13" s="37">
        <v>5304</v>
      </c>
      <c r="C13" s="26">
        <v>6675</v>
      </c>
      <c r="D13" s="11">
        <v>498</v>
      </c>
      <c r="E13" s="29"/>
      <c r="F13" s="13">
        <v>3412</v>
      </c>
      <c r="G13" s="28">
        <v>3133</v>
      </c>
      <c r="H13" s="11">
        <v>32243</v>
      </c>
      <c r="I13" s="29">
        <v>41807</v>
      </c>
      <c r="J13" s="13">
        <v>7831</v>
      </c>
      <c r="K13" s="28">
        <v>5171</v>
      </c>
      <c r="L13" s="11">
        <v>2621</v>
      </c>
      <c r="M13" s="14">
        <v>5346</v>
      </c>
      <c r="N13" s="13">
        <v>10290</v>
      </c>
      <c r="O13" s="28">
        <v>10622</v>
      </c>
      <c r="P13" s="11">
        <v>6301</v>
      </c>
      <c r="Q13" s="619">
        <v>4555</v>
      </c>
      <c r="R13" s="11">
        <v>7020</v>
      </c>
      <c r="S13" s="29"/>
      <c r="T13" s="13">
        <v>14867</v>
      </c>
      <c r="U13" s="619">
        <v>12746</v>
      </c>
      <c r="V13" s="11">
        <v>60135</v>
      </c>
      <c r="W13" s="29">
        <v>60023</v>
      </c>
      <c r="X13" s="13">
        <v>52730</v>
      </c>
      <c r="Y13" s="28">
        <v>43003</v>
      </c>
      <c r="Z13" s="11">
        <v>2770</v>
      </c>
      <c r="AA13" s="622">
        <v>4343</v>
      </c>
      <c r="AB13" s="11">
        <v>14202</v>
      </c>
      <c r="AC13" s="29">
        <v>8215</v>
      </c>
      <c r="AD13" s="13">
        <v>60773</v>
      </c>
      <c r="AE13" s="619">
        <v>39574</v>
      </c>
      <c r="AF13" s="11">
        <v>33335</v>
      </c>
      <c r="AG13" s="29">
        <v>36661</v>
      </c>
      <c r="AH13" s="11">
        <v>37118</v>
      </c>
      <c r="AI13" s="29">
        <v>25645</v>
      </c>
      <c r="AJ13" s="153">
        <v>54538</v>
      </c>
      <c r="AK13" s="154">
        <v>54587</v>
      </c>
      <c r="AL13" s="225"/>
      <c r="AM13" s="158"/>
      <c r="AN13" s="627">
        <v>9730</v>
      </c>
      <c r="AO13" s="628">
        <v>12760</v>
      </c>
      <c r="AP13" s="11">
        <v>48468</v>
      </c>
      <c r="AQ13" s="29">
        <v>64828</v>
      </c>
      <c r="AR13" s="15">
        <v>271</v>
      </c>
      <c r="AS13" s="34"/>
      <c r="AT13" s="11">
        <v>11580</v>
      </c>
      <c r="AU13" s="28">
        <v>15783</v>
      </c>
      <c r="AV13" s="222"/>
      <c r="AW13" s="222"/>
      <c r="AX13" s="157"/>
      <c r="AY13" s="580"/>
      <c r="AZ13" s="222"/>
      <c r="BA13" s="35"/>
    </row>
    <row r="14" spans="1:54" ht="15" x14ac:dyDescent="0.3">
      <c r="A14" s="24" t="s">
        <v>16</v>
      </c>
      <c r="B14" s="37">
        <v>418</v>
      </c>
      <c r="C14" s="7">
        <v>3292</v>
      </c>
      <c r="D14" s="11"/>
      <c r="E14" s="14"/>
      <c r="F14" s="13"/>
      <c r="G14" s="10"/>
      <c r="H14" s="11">
        <v>1056</v>
      </c>
      <c r="I14" s="29">
        <v>235</v>
      </c>
      <c r="J14" s="13">
        <v>53</v>
      </c>
      <c r="K14" s="10">
        <v>63</v>
      </c>
      <c r="L14" s="11">
        <v>7686</v>
      </c>
      <c r="M14" s="14">
        <v>3785</v>
      </c>
      <c r="N14" s="13"/>
      <c r="O14" s="10"/>
      <c r="P14" s="11"/>
      <c r="Q14" s="555">
        <v>435</v>
      </c>
      <c r="R14" s="11">
        <v>4466</v>
      </c>
      <c r="S14" s="29"/>
      <c r="T14" s="13"/>
      <c r="U14" s="555"/>
      <c r="V14" s="11"/>
      <c r="W14" s="29">
        <v>168</v>
      </c>
      <c r="X14" s="13"/>
      <c r="Y14" s="28">
        <v>112</v>
      </c>
      <c r="Z14" s="11">
        <v>116</v>
      </c>
      <c r="AA14" s="622">
        <v>58</v>
      </c>
      <c r="AB14" s="11"/>
      <c r="AC14" s="29"/>
      <c r="AD14" s="13">
        <v>669</v>
      </c>
      <c r="AE14" s="619">
        <v>163</v>
      </c>
      <c r="AF14" s="11"/>
      <c r="AG14" s="29"/>
      <c r="AH14" s="11"/>
      <c r="AI14" s="29"/>
      <c r="AJ14" s="153"/>
      <c r="AK14" s="154"/>
      <c r="AL14" s="225"/>
      <c r="AM14" s="158"/>
      <c r="AN14" s="627"/>
      <c r="AO14" s="628">
        <v>2420</v>
      </c>
      <c r="AP14" s="11"/>
      <c r="AQ14" s="29">
        <v>2</v>
      </c>
      <c r="AR14" s="15"/>
      <c r="AS14" s="34"/>
      <c r="AT14" s="11"/>
      <c r="AU14" s="28"/>
      <c r="AV14" s="222">
        <f t="shared" si="0"/>
        <v>14464</v>
      </c>
      <c r="AW14" s="222">
        <f t="shared" si="1"/>
        <v>10733</v>
      </c>
      <c r="AX14" s="157">
        <v>1281</v>
      </c>
      <c r="AY14" s="580">
        <v>616</v>
      </c>
      <c r="AZ14" s="222">
        <f t="shared" si="2"/>
        <v>15745</v>
      </c>
      <c r="BA14" s="35">
        <f t="shared" si="3"/>
        <v>11349</v>
      </c>
    </row>
    <row r="15" spans="1:54" ht="15" x14ac:dyDescent="0.3">
      <c r="A15" s="24" t="s">
        <v>17</v>
      </c>
      <c r="B15" s="37"/>
      <c r="C15" s="7"/>
      <c r="D15" s="11"/>
      <c r="E15" s="14"/>
      <c r="F15" s="13">
        <v>152</v>
      </c>
      <c r="G15" s="10">
        <v>261</v>
      </c>
      <c r="H15" s="11"/>
      <c r="I15" s="29"/>
      <c r="J15" s="13"/>
      <c r="K15" s="10"/>
      <c r="L15" s="11"/>
      <c r="M15" s="14"/>
      <c r="N15" s="13"/>
      <c r="O15" s="10"/>
      <c r="P15" s="11"/>
      <c r="Q15" s="555"/>
      <c r="R15" s="11"/>
      <c r="S15" s="29"/>
      <c r="T15" s="13">
        <v>217</v>
      </c>
      <c r="U15" s="555">
        <v>290</v>
      </c>
      <c r="V15" s="11">
        <v>177</v>
      </c>
      <c r="W15" s="29">
        <v>175</v>
      </c>
      <c r="X15" s="13">
        <v>816</v>
      </c>
      <c r="Y15" s="28">
        <v>1155</v>
      </c>
      <c r="Z15" s="11"/>
      <c r="AA15" s="622"/>
      <c r="AB15" s="11"/>
      <c r="AC15" s="29"/>
      <c r="AD15" s="13"/>
      <c r="AE15" s="619">
        <v>2</v>
      </c>
      <c r="AF15" s="11">
        <v>2464</v>
      </c>
      <c r="AG15" s="29">
        <v>2162</v>
      </c>
      <c r="AH15" s="11">
        <v>2785</v>
      </c>
      <c r="AI15" s="29">
        <v>2550</v>
      </c>
      <c r="AJ15" s="153"/>
      <c r="AK15" s="154"/>
      <c r="AL15" s="225"/>
      <c r="AM15" s="158"/>
      <c r="AN15" s="627">
        <v>18</v>
      </c>
      <c r="AO15" s="628">
        <v>4</v>
      </c>
      <c r="AP15" s="11"/>
      <c r="AQ15" s="29"/>
      <c r="AR15" s="15"/>
      <c r="AS15" s="34"/>
      <c r="AT15" s="11"/>
      <c r="AU15" s="28"/>
      <c r="AV15" s="222">
        <f t="shared" si="0"/>
        <v>6629</v>
      </c>
      <c r="AW15" s="222">
        <f t="shared" si="1"/>
        <v>6599</v>
      </c>
      <c r="AX15" s="157">
        <v>10584</v>
      </c>
      <c r="AY15" s="580">
        <v>14731</v>
      </c>
      <c r="AZ15" s="222">
        <f t="shared" si="2"/>
        <v>17213</v>
      </c>
      <c r="BA15" s="35">
        <f t="shared" si="3"/>
        <v>21330</v>
      </c>
    </row>
    <row r="16" spans="1:54" ht="15" x14ac:dyDescent="0.3">
      <c r="A16" s="24" t="s">
        <v>18</v>
      </c>
      <c r="B16" s="37"/>
      <c r="C16" s="7"/>
      <c r="D16" s="11"/>
      <c r="E16" s="14"/>
      <c r="F16" s="13"/>
      <c r="G16" s="10"/>
      <c r="H16" s="11"/>
      <c r="I16" s="29"/>
      <c r="J16" s="13"/>
      <c r="K16" s="10"/>
      <c r="L16" s="11"/>
      <c r="M16" s="14"/>
      <c r="N16" s="13"/>
      <c r="O16" s="10"/>
      <c r="P16" s="11"/>
      <c r="Q16" s="555"/>
      <c r="R16" s="11"/>
      <c r="S16" s="14"/>
      <c r="T16" s="13"/>
      <c r="U16" s="555"/>
      <c r="V16" s="11"/>
      <c r="W16" s="29"/>
      <c r="X16" s="13"/>
      <c r="Y16" s="28"/>
      <c r="Z16" s="11"/>
      <c r="AA16" s="622"/>
      <c r="AB16" s="11"/>
      <c r="AC16" s="29"/>
      <c r="AD16" s="13"/>
      <c r="AE16" s="619"/>
      <c r="AF16" s="11"/>
      <c r="AG16" s="29"/>
      <c r="AH16" s="11"/>
      <c r="AI16" s="29"/>
      <c r="AJ16" s="153"/>
      <c r="AK16" s="154"/>
      <c r="AL16" s="225"/>
      <c r="AM16" s="158"/>
      <c r="AN16" s="627"/>
      <c r="AO16" s="628"/>
      <c r="AP16" s="11"/>
      <c r="AQ16" s="29"/>
      <c r="AR16" s="15"/>
      <c r="AS16" s="34"/>
      <c r="AT16" s="11"/>
      <c r="AU16" s="28"/>
      <c r="AV16" s="222">
        <f t="shared" si="0"/>
        <v>0</v>
      </c>
      <c r="AW16" s="222">
        <f t="shared" si="1"/>
        <v>0</v>
      </c>
      <c r="AX16" s="157"/>
      <c r="AY16" s="580"/>
      <c r="AZ16" s="222">
        <f t="shared" si="2"/>
        <v>0</v>
      </c>
      <c r="BA16" s="35">
        <f t="shared" si="3"/>
        <v>0</v>
      </c>
    </row>
    <row r="17" spans="1:53" ht="15.75" thickBot="1" x14ac:dyDescent="0.35">
      <c r="A17" s="24" t="s">
        <v>19</v>
      </c>
      <c r="B17" s="387">
        <v>58</v>
      </c>
      <c r="C17" s="388">
        <v>235</v>
      </c>
      <c r="D17" s="392">
        <v>2223</v>
      </c>
      <c r="E17" s="391">
        <v>10</v>
      </c>
      <c r="F17" s="389"/>
      <c r="G17" s="390"/>
      <c r="H17" s="392">
        <v>5914</v>
      </c>
      <c r="I17" s="391">
        <v>-451</v>
      </c>
      <c r="J17" s="389">
        <v>34</v>
      </c>
      <c r="K17" s="390"/>
      <c r="L17" s="392">
        <v>869</v>
      </c>
      <c r="M17" s="391">
        <v>101</v>
      </c>
      <c r="N17" s="389"/>
      <c r="O17" s="390"/>
      <c r="P17" s="392">
        <v>104</v>
      </c>
      <c r="Q17" s="620"/>
      <c r="R17" s="392"/>
      <c r="S17" s="391"/>
      <c r="T17" s="389"/>
      <c r="U17" s="620"/>
      <c r="V17" s="392">
        <v>423</v>
      </c>
      <c r="W17" s="29">
        <v>120</v>
      </c>
      <c r="X17" s="389">
        <v>5593</v>
      </c>
      <c r="Y17" s="28">
        <v>148</v>
      </c>
      <c r="Z17" s="392"/>
      <c r="AA17" s="622"/>
      <c r="AB17" s="392"/>
      <c r="AC17" s="29"/>
      <c r="AD17" s="389">
        <v>833</v>
      </c>
      <c r="AE17" s="619">
        <v>91</v>
      </c>
      <c r="AF17" s="392">
        <v>17288</v>
      </c>
      <c r="AG17" s="29">
        <v>1033</v>
      </c>
      <c r="AH17" s="392">
        <v>7879</v>
      </c>
      <c r="AI17" s="29">
        <v>211</v>
      </c>
      <c r="AJ17" s="156"/>
      <c r="AK17" s="154"/>
      <c r="AL17" s="393"/>
      <c r="AM17" s="380"/>
      <c r="AN17" s="631">
        <v>647</v>
      </c>
      <c r="AO17" s="632"/>
      <c r="AP17" s="392">
        <v>-3</v>
      </c>
      <c r="AQ17" s="29">
        <v>-2</v>
      </c>
      <c r="AR17" s="394"/>
      <c r="AS17" s="34"/>
      <c r="AT17" s="392">
        <v>14276</v>
      </c>
      <c r="AU17" s="28">
        <v>48</v>
      </c>
      <c r="AV17" s="222">
        <f t="shared" si="0"/>
        <v>56138</v>
      </c>
      <c r="AW17" s="222">
        <f t="shared" si="1"/>
        <v>1544</v>
      </c>
      <c r="AX17" s="395"/>
      <c r="AY17" s="580"/>
      <c r="AZ17" s="581">
        <f t="shared" si="2"/>
        <v>56138</v>
      </c>
      <c r="BA17" s="396">
        <f t="shared" si="3"/>
        <v>1544</v>
      </c>
    </row>
    <row r="18" spans="1:53" s="256" customFormat="1" ht="15" thickBot="1" x14ac:dyDescent="0.35">
      <c r="A18" s="432" t="s">
        <v>20</v>
      </c>
      <c r="B18" s="397">
        <f>SUM(B5:B17)</f>
        <v>152225</v>
      </c>
      <c r="C18" s="397">
        <f t="shared" ref="C18:AH18" si="4">SUM(C5:C17)</f>
        <v>163836</v>
      </c>
      <c r="D18" s="397">
        <f t="shared" si="4"/>
        <v>6884</v>
      </c>
      <c r="E18" s="402">
        <f t="shared" si="4"/>
        <v>1516</v>
      </c>
      <c r="F18" s="401">
        <f t="shared" si="4"/>
        <v>13846</v>
      </c>
      <c r="G18" s="397">
        <f t="shared" si="4"/>
        <v>17695</v>
      </c>
      <c r="H18" s="397">
        <f t="shared" si="4"/>
        <v>308065</v>
      </c>
      <c r="I18" s="402">
        <f t="shared" si="4"/>
        <v>408654</v>
      </c>
      <c r="J18" s="401">
        <f t="shared" si="4"/>
        <v>79440</v>
      </c>
      <c r="K18" s="397">
        <f t="shared" si="4"/>
        <v>70180</v>
      </c>
      <c r="L18" s="397">
        <f t="shared" si="4"/>
        <v>114729</v>
      </c>
      <c r="M18" s="402">
        <f t="shared" si="4"/>
        <v>121086</v>
      </c>
      <c r="N18" s="401">
        <f t="shared" si="4"/>
        <v>19897</v>
      </c>
      <c r="O18" s="397">
        <f t="shared" si="4"/>
        <v>24275</v>
      </c>
      <c r="P18" s="397">
        <f t="shared" si="4"/>
        <v>39680</v>
      </c>
      <c r="Q18" s="398">
        <f t="shared" si="4"/>
        <v>32901</v>
      </c>
      <c r="R18" s="397">
        <f t="shared" si="4"/>
        <v>83822</v>
      </c>
      <c r="S18" s="402">
        <f t="shared" si="4"/>
        <v>0</v>
      </c>
      <c r="T18" s="401">
        <f t="shared" si="4"/>
        <v>24572</v>
      </c>
      <c r="U18" s="398">
        <f t="shared" si="4"/>
        <v>27514</v>
      </c>
      <c r="V18" s="397">
        <f t="shared" si="4"/>
        <v>639298</v>
      </c>
      <c r="W18" s="402">
        <f t="shared" si="4"/>
        <v>642783</v>
      </c>
      <c r="X18" s="401">
        <f t="shared" si="4"/>
        <v>451327</v>
      </c>
      <c r="Y18" s="397">
        <f t="shared" si="4"/>
        <v>404985</v>
      </c>
      <c r="Z18" s="397">
        <f t="shared" si="4"/>
        <v>29895</v>
      </c>
      <c r="AA18" s="398">
        <f t="shared" si="4"/>
        <v>32405</v>
      </c>
      <c r="AB18" s="397">
        <f t="shared" si="4"/>
        <v>180215</v>
      </c>
      <c r="AC18" s="402">
        <f t="shared" si="4"/>
        <v>220460</v>
      </c>
      <c r="AD18" s="401">
        <f t="shared" si="4"/>
        <v>200489</v>
      </c>
      <c r="AE18" s="398">
        <f t="shared" si="4"/>
        <v>205131</v>
      </c>
      <c r="AF18" s="397">
        <f t="shared" si="4"/>
        <v>411630</v>
      </c>
      <c r="AG18" s="402">
        <f t="shared" si="4"/>
        <v>382767</v>
      </c>
      <c r="AH18" s="397">
        <f t="shared" si="4"/>
        <v>172718</v>
      </c>
      <c r="AI18" s="402">
        <f t="shared" ref="AI18:AU18" si="5">SUM(AI5:AI17)</f>
        <v>197206</v>
      </c>
      <c r="AJ18" s="401">
        <f t="shared" si="5"/>
        <v>110639</v>
      </c>
      <c r="AK18" s="397">
        <f t="shared" si="5"/>
        <v>109563</v>
      </c>
      <c r="AL18" s="397">
        <f t="shared" si="5"/>
        <v>0</v>
      </c>
      <c r="AM18" s="454">
        <f t="shared" si="5"/>
        <v>0</v>
      </c>
      <c r="AN18" s="634">
        <f t="shared" si="5"/>
        <v>1310792</v>
      </c>
      <c r="AO18" s="635">
        <f t="shared" si="5"/>
        <v>1567194</v>
      </c>
      <c r="AP18" s="397">
        <f t="shared" si="5"/>
        <v>171181</v>
      </c>
      <c r="AQ18" s="402">
        <f t="shared" si="5"/>
        <v>199867</v>
      </c>
      <c r="AR18" s="401">
        <f t="shared" si="5"/>
        <v>89216</v>
      </c>
      <c r="AS18" s="397">
        <f t="shared" si="5"/>
        <v>0</v>
      </c>
      <c r="AT18" s="397">
        <f t="shared" si="5"/>
        <v>342888</v>
      </c>
      <c r="AU18" s="397">
        <f t="shared" si="5"/>
        <v>440860</v>
      </c>
      <c r="AV18" s="403">
        <f t="shared" si="0"/>
        <v>4953448</v>
      </c>
      <c r="AW18" s="404">
        <f t="shared" si="1"/>
        <v>5270878</v>
      </c>
      <c r="AX18" s="678">
        <f>SUM(AX5:AX17)</f>
        <v>12648184</v>
      </c>
      <c r="AY18" s="679">
        <f>SUM(AY5:AY17)</f>
        <v>12890843</v>
      </c>
      <c r="AZ18" s="403">
        <f t="shared" si="2"/>
        <v>17601632</v>
      </c>
      <c r="BA18" s="407">
        <f t="shared" si="3"/>
        <v>18161721</v>
      </c>
    </row>
    <row r="19" spans="1:53" s="452" customFormat="1" ht="15" thickBot="1" x14ac:dyDescent="0.35">
      <c r="A19" s="434" t="s">
        <v>11</v>
      </c>
      <c r="B19" s="435"/>
      <c r="C19" s="436"/>
      <c r="D19" s="440"/>
      <c r="E19" s="439"/>
      <c r="F19" s="437"/>
      <c r="G19" s="438"/>
      <c r="H19" s="440"/>
      <c r="I19" s="439"/>
      <c r="J19" s="437"/>
      <c r="K19" s="438"/>
      <c r="L19" s="440"/>
      <c r="M19" s="439"/>
      <c r="N19" s="437">
        <v>-1</v>
      </c>
      <c r="O19" s="437"/>
      <c r="P19" s="444"/>
      <c r="Q19" s="621"/>
      <c r="R19" s="444">
        <v>1793</v>
      </c>
      <c r="S19" s="451"/>
      <c r="T19" s="441"/>
      <c r="U19" s="621"/>
      <c r="V19" s="444"/>
      <c r="W19" s="443">
        <v>391</v>
      </c>
      <c r="X19" s="441"/>
      <c r="Y19" s="442"/>
      <c r="Z19" s="444"/>
      <c r="AA19" s="621"/>
      <c r="AB19" s="440"/>
      <c r="AC19" s="439"/>
      <c r="AD19" s="437">
        <v>52</v>
      </c>
      <c r="AE19" s="623">
        <v>310</v>
      </c>
      <c r="AF19" s="440"/>
      <c r="AG19" s="439"/>
      <c r="AH19" s="440"/>
      <c r="AI19" s="624"/>
      <c r="AJ19" s="437"/>
      <c r="AK19" s="438">
        <v>304</v>
      </c>
      <c r="AL19" s="445"/>
      <c r="AM19" s="633"/>
      <c r="AN19" s="636"/>
      <c r="AO19" s="446"/>
      <c r="AP19" s="440"/>
      <c r="AQ19" s="439"/>
      <c r="AR19" s="447"/>
      <c r="AS19" s="448"/>
      <c r="AT19" s="440"/>
      <c r="AU19" s="438"/>
      <c r="AV19" s="444">
        <f t="shared" si="0"/>
        <v>1844</v>
      </c>
      <c r="AW19" s="444">
        <f t="shared" si="1"/>
        <v>1005</v>
      </c>
      <c r="AX19" s="450"/>
      <c r="AY19" s="449"/>
      <c r="AZ19" s="444">
        <f t="shared" si="2"/>
        <v>1844</v>
      </c>
      <c r="BA19" s="451">
        <f t="shared" si="3"/>
        <v>1005</v>
      </c>
    </row>
    <row r="20" spans="1:53" s="256" customFormat="1" ht="15" thickBot="1" x14ac:dyDescent="0.35">
      <c r="A20" s="432" t="s">
        <v>12</v>
      </c>
      <c r="B20" s="397">
        <f>B18+B19</f>
        <v>152225</v>
      </c>
      <c r="C20" s="397">
        <f t="shared" ref="C20:AH20" si="6">C18+C19</f>
        <v>163836</v>
      </c>
      <c r="D20" s="397">
        <f t="shared" si="6"/>
        <v>6884</v>
      </c>
      <c r="E20" s="402">
        <f t="shared" si="6"/>
        <v>1516</v>
      </c>
      <c r="F20" s="401">
        <f t="shared" si="6"/>
        <v>13846</v>
      </c>
      <c r="G20" s="397">
        <f t="shared" si="6"/>
        <v>17695</v>
      </c>
      <c r="H20" s="397">
        <f t="shared" si="6"/>
        <v>308065</v>
      </c>
      <c r="I20" s="402">
        <f t="shared" si="6"/>
        <v>408654</v>
      </c>
      <c r="J20" s="401">
        <f t="shared" si="6"/>
        <v>79440</v>
      </c>
      <c r="K20" s="397">
        <f t="shared" si="6"/>
        <v>70180</v>
      </c>
      <c r="L20" s="397">
        <f t="shared" si="6"/>
        <v>114729</v>
      </c>
      <c r="M20" s="402">
        <f t="shared" si="6"/>
        <v>121086</v>
      </c>
      <c r="N20" s="401">
        <f t="shared" si="6"/>
        <v>19896</v>
      </c>
      <c r="O20" s="397">
        <f t="shared" si="6"/>
        <v>24275</v>
      </c>
      <c r="P20" s="397">
        <f t="shared" si="6"/>
        <v>39680</v>
      </c>
      <c r="Q20" s="398">
        <f t="shared" si="6"/>
        <v>32901</v>
      </c>
      <c r="R20" s="397">
        <f t="shared" si="6"/>
        <v>85615</v>
      </c>
      <c r="S20" s="402">
        <f t="shared" si="6"/>
        <v>0</v>
      </c>
      <c r="T20" s="401">
        <f t="shared" si="6"/>
        <v>24572</v>
      </c>
      <c r="U20" s="398">
        <f t="shared" si="6"/>
        <v>27514</v>
      </c>
      <c r="V20" s="397">
        <f t="shared" si="6"/>
        <v>639298</v>
      </c>
      <c r="W20" s="402">
        <f t="shared" si="6"/>
        <v>643174</v>
      </c>
      <c r="X20" s="401">
        <f t="shared" si="6"/>
        <v>451327</v>
      </c>
      <c r="Y20" s="397">
        <f t="shared" si="6"/>
        <v>404985</v>
      </c>
      <c r="Z20" s="397">
        <f t="shared" si="6"/>
        <v>29895</v>
      </c>
      <c r="AA20" s="398">
        <f t="shared" si="6"/>
        <v>32405</v>
      </c>
      <c r="AB20" s="397">
        <f t="shared" si="6"/>
        <v>180215</v>
      </c>
      <c r="AC20" s="402">
        <f t="shared" si="6"/>
        <v>220460</v>
      </c>
      <c r="AD20" s="401">
        <f t="shared" si="6"/>
        <v>200541</v>
      </c>
      <c r="AE20" s="398">
        <f t="shared" si="6"/>
        <v>205441</v>
      </c>
      <c r="AF20" s="397">
        <f t="shared" si="6"/>
        <v>411630</v>
      </c>
      <c r="AG20" s="402">
        <f t="shared" si="6"/>
        <v>382767</v>
      </c>
      <c r="AH20" s="397">
        <f t="shared" si="6"/>
        <v>172718</v>
      </c>
      <c r="AI20" s="402">
        <f t="shared" ref="AI20:AU20" si="7">AI18+AI19</f>
        <v>197206</v>
      </c>
      <c r="AJ20" s="401">
        <f t="shared" si="7"/>
        <v>110639</v>
      </c>
      <c r="AK20" s="397">
        <f t="shared" si="7"/>
        <v>109867</v>
      </c>
      <c r="AL20" s="397">
        <f t="shared" si="7"/>
        <v>0</v>
      </c>
      <c r="AM20" s="454">
        <f t="shared" si="7"/>
        <v>0</v>
      </c>
      <c r="AN20" s="397">
        <f t="shared" si="7"/>
        <v>1310792</v>
      </c>
      <c r="AO20" s="400">
        <f t="shared" si="7"/>
        <v>1567194</v>
      </c>
      <c r="AP20" s="397">
        <f t="shared" si="7"/>
        <v>171181</v>
      </c>
      <c r="AQ20" s="402">
        <f t="shared" si="7"/>
        <v>199867</v>
      </c>
      <c r="AR20" s="401">
        <f t="shared" si="7"/>
        <v>89216</v>
      </c>
      <c r="AS20" s="397">
        <f t="shared" si="7"/>
        <v>0</v>
      </c>
      <c r="AT20" s="397">
        <f t="shared" si="7"/>
        <v>342888</v>
      </c>
      <c r="AU20" s="397">
        <f t="shared" si="7"/>
        <v>440860</v>
      </c>
      <c r="AV20" s="403">
        <f t="shared" si="0"/>
        <v>4955292</v>
      </c>
      <c r="AW20" s="404">
        <f t="shared" si="1"/>
        <v>5271883</v>
      </c>
      <c r="AX20" s="403">
        <f>AX18+AX19</f>
        <v>12648184</v>
      </c>
      <c r="AY20" s="407">
        <f>AY18+AY19</f>
        <v>12890843</v>
      </c>
      <c r="AZ20" s="403">
        <f t="shared" si="2"/>
        <v>17603476</v>
      </c>
      <c r="BA20" s="407">
        <f t="shared" si="3"/>
        <v>18162726</v>
      </c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BA45"/>
  <sheetViews>
    <sheetView workbookViewId="0">
      <pane xSplit="1" topLeftCell="B1" activePane="topRight" state="frozen"/>
      <selection pane="topRight" sqref="A1:XFD1048576"/>
    </sheetView>
  </sheetViews>
  <sheetFormatPr defaultColWidth="25.28515625" defaultRowHeight="14.25" x14ac:dyDescent="0.3"/>
  <cols>
    <col min="1" max="1" width="25.140625" style="20" bestFit="1" customWidth="1"/>
    <col min="2" max="53" width="15" style="20" bestFit="1" customWidth="1"/>
    <col min="54" max="16384" width="25.28515625" style="20"/>
  </cols>
  <sheetData>
    <row r="1" spans="1:53" x14ac:dyDescent="0.3">
      <c r="A1" s="930" t="s">
        <v>108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930"/>
      <c r="AS1" s="930"/>
      <c r="AT1" s="930"/>
      <c r="AU1" s="930"/>
      <c r="AV1" s="930"/>
      <c r="AW1" s="930"/>
      <c r="AX1" s="930"/>
      <c r="AY1" s="930"/>
      <c r="AZ1" s="930"/>
    </row>
    <row r="2" spans="1:53" ht="16.5" thickBot="1" x14ac:dyDescent="0.4">
      <c r="A2" s="931" t="s">
        <v>386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C2" s="931"/>
      <c r="AD2" s="931"/>
      <c r="AE2" s="931"/>
      <c r="AF2" s="931"/>
      <c r="AG2" s="931"/>
      <c r="AH2" s="931"/>
      <c r="AI2" s="931"/>
      <c r="AJ2" s="931"/>
      <c r="AK2" s="931"/>
      <c r="AL2" s="931"/>
      <c r="AM2" s="931"/>
      <c r="AN2" s="931"/>
      <c r="AO2" s="931"/>
      <c r="AP2" s="931"/>
      <c r="AQ2" s="931"/>
      <c r="AR2" s="931"/>
      <c r="AS2" s="931"/>
      <c r="AT2" s="931"/>
      <c r="AU2" s="931"/>
      <c r="AV2" s="931"/>
      <c r="AW2" s="931"/>
      <c r="AX2" s="931"/>
      <c r="AY2" s="931"/>
      <c r="AZ2" s="931"/>
    </row>
    <row r="3" spans="1:53" ht="41.25" customHeight="1" thickBot="1" x14ac:dyDescent="0.35">
      <c r="A3" s="932" t="s">
        <v>0</v>
      </c>
      <c r="B3" s="934" t="s">
        <v>113</v>
      </c>
      <c r="C3" s="935"/>
      <c r="D3" s="924" t="s">
        <v>114</v>
      </c>
      <c r="E3" s="925"/>
      <c r="F3" s="926" t="s">
        <v>115</v>
      </c>
      <c r="G3" s="926"/>
      <c r="H3" s="920" t="s">
        <v>116</v>
      </c>
      <c r="I3" s="921"/>
      <c r="J3" s="926" t="s">
        <v>117</v>
      </c>
      <c r="K3" s="926"/>
      <c r="L3" s="924" t="s">
        <v>118</v>
      </c>
      <c r="M3" s="925"/>
      <c r="N3" s="926" t="s">
        <v>218</v>
      </c>
      <c r="O3" s="926"/>
      <c r="P3" s="924" t="s">
        <v>119</v>
      </c>
      <c r="Q3" s="925"/>
      <c r="R3" s="926" t="s">
        <v>120</v>
      </c>
      <c r="S3" s="926"/>
      <c r="T3" s="924" t="s">
        <v>121</v>
      </c>
      <c r="U3" s="925"/>
      <c r="V3" s="926" t="s">
        <v>122</v>
      </c>
      <c r="W3" s="926"/>
      <c r="X3" s="924" t="s">
        <v>123</v>
      </c>
      <c r="Y3" s="925"/>
      <c r="Z3" s="914" t="s">
        <v>223</v>
      </c>
      <c r="AA3" s="914"/>
      <c r="AB3" s="927" t="s">
        <v>124</v>
      </c>
      <c r="AC3" s="928"/>
      <c r="AD3" s="926" t="s">
        <v>125</v>
      </c>
      <c r="AE3" s="926"/>
      <c r="AF3" s="924" t="s">
        <v>126</v>
      </c>
      <c r="AG3" s="925"/>
      <c r="AH3" s="926" t="s">
        <v>127</v>
      </c>
      <c r="AI3" s="926"/>
      <c r="AJ3" s="924" t="s">
        <v>128</v>
      </c>
      <c r="AK3" s="925"/>
      <c r="AL3" s="926" t="s">
        <v>129</v>
      </c>
      <c r="AM3" s="926"/>
      <c r="AN3" s="922" t="s">
        <v>130</v>
      </c>
      <c r="AO3" s="923"/>
      <c r="AP3" s="924" t="s">
        <v>131</v>
      </c>
      <c r="AQ3" s="925"/>
      <c r="AR3" s="926" t="s">
        <v>132</v>
      </c>
      <c r="AS3" s="926"/>
      <c r="AT3" s="927" t="s">
        <v>133</v>
      </c>
      <c r="AU3" s="928"/>
      <c r="AV3" s="929" t="s">
        <v>1</v>
      </c>
      <c r="AW3" s="929"/>
      <c r="AX3" s="927" t="s">
        <v>134</v>
      </c>
      <c r="AY3" s="928"/>
      <c r="AZ3" s="929" t="s">
        <v>2</v>
      </c>
      <c r="BA3" s="921"/>
    </row>
    <row r="4" spans="1:53" s="311" customFormat="1" ht="15" customHeight="1" thickBot="1" x14ac:dyDescent="0.35">
      <c r="A4" s="933"/>
      <c r="B4" s="318" t="s">
        <v>325</v>
      </c>
      <c r="C4" s="320" t="s">
        <v>388</v>
      </c>
      <c r="D4" s="318" t="s">
        <v>325</v>
      </c>
      <c r="E4" s="320" t="s">
        <v>388</v>
      </c>
      <c r="F4" s="318" t="s">
        <v>325</v>
      </c>
      <c r="G4" s="320" t="s">
        <v>388</v>
      </c>
      <c r="H4" s="318" t="s">
        <v>325</v>
      </c>
      <c r="I4" s="320" t="s">
        <v>388</v>
      </c>
      <c r="J4" s="318" t="s">
        <v>325</v>
      </c>
      <c r="K4" s="320" t="s">
        <v>388</v>
      </c>
      <c r="L4" s="318" t="s">
        <v>325</v>
      </c>
      <c r="M4" s="320" t="s">
        <v>221</v>
      </c>
      <c r="N4" s="318" t="s">
        <v>325</v>
      </c>
      <c r="O4" s="320" t="s">
        <v>221</v>
      </c>
      <c r="P4" s="318" t="s">
        <v>325</v>
      </c>
      <c r="Q4" s="320" t="s">
        <v>221</v>
      </c>
      <c r="R4" s="318" t="s">
        <v>325</v>
      </c>
      <c r="S4" s="320" t="s">
        <v>221</v>
      </c>
      <c r="T4" s="318" t="s">
        <v>325</v>
      </c>
      <c r="U4" s="320" t="s">
        <v>221</v>
      </c>
      <c r="V4" s="318" t="s">
        <v>325</v>
      </c>
      <c r="W4" s="320" t="s">
        <v>388</v>
      </c>
      <c r="X4" s="318" t="s">
        <v>325</v>
      </c>
      <c r="Y4" s="320" t="s">
        <v>388</v>
      </c>
      <c r="Z4" s="318" t="s">
        <v>325</v>
      </c>
      <c r="AA4" s="320" t="s">
        <v>388</v>
      </c>
      <c r="AB4" s="318" t="s">
        <v>325</v>
      </c>
      <c r="AC4" s="320" t="s">
        <v>388</v>
      </c>
      <c r="AD4" s="318" t="s">
        <v>325</v>
      </c>
      <c r="AE4" s="320" t="s">
        <v>388</v>
      </c>
      <c r="AF4" s="318" t="s">
        <v>325</v>
      </c>
      <c r="AG4" s="320" t="s">
        <v>388</v>
      </c>
      <c r="AH4" s="318" t="s">
        <v>325</v>
      </c>
      <c r="AI4" s="320" t="s">
        <v>388</v>
      </c>
      <c r="AJ4" s="318" t="s">
        <v>325</v>
      </c>
      <c r="AK4" s="320" t="s">
        <v>388</v>
      </c>
      <c r="AL4" s="318" t="s">
        <v>325</v>
      </c>
      <c r="AM4" s="320" t="s">
        <v>388</v>
      </c>
      <c r="AN4" s="318" t="s">
        <v>325</v>
      </c>
      <c r="AO4" s="320" t="s">
        <v>388</v>
      </c>
      <c r="AP4" s="318" t="s">
        <v>325</v>
      </c>
      <c r="AQ4" s="320" t="s">
        <v>388</v>
      </c>
      <c r="AR4" s="318" t="s">
        <v>325</v>
      </c>
      <c r="AS4" s="320" t="s">
        <v>388</v>
      </c>
      <c r="AT4" s="318" t="s">
        <v>325</v>
      </c>
      <c r="AU4" s="320" t="s">
        <v>388</v>
      </c>
      <c r="AV4" s="318" t="s">
        <v>325</v>
      </c>
      <c r="AW4" s="320" t="s">
        <v>388</v>
      </c>
      <c r="AX4" s="318" t="s">
        <v>325</v>
      </c>
      <c r="AY4" s="320" t="s">
        <v>388</v>
      </c>
      <c r="AZ4" s="318" t="s">
        <v>325</v>
      </c>
      <c r="BA4" s="320" t="s">
        <v>388</v>
      </c>
    </row>
    <row r="5" spans="1:53" ht="28.5" x14ac:dyDescent="0.3">
      <c r="A5" s="480" t="s">
        <v>75</v>
      </c>
      <c r="B5" s="316">
        <v>12823</v>
      </c>
      <c r="C5" s="316">
        <v>19173</v>
      </c>
      <c r="D5" s="316"/>
      <c r="E5" s="316"/>
      <c r="F5" s="316"/>
      <c r="G5" s="431"/>
      <c r="H5" s="316">
        <v>24201</v>
      </c>
      <c r="I5" s="316">
        <v>54576</v>
      </c>
      <c r="J5" s="316">
        <v>-26771</v>
      </c>
      <c r="K5" s="316">
        <v>-20230</v>
      </c>
      <c r="L5" s="316"/>
      <c r="M5" s="316"/>
      <c r="N5" s="316">
        <v>2237</v>
      </c>
      <c r="O5" s="316">
        <v>7928</v>
      </c>
      <c r="P5" s="316"/>
      <c r="Q5" s="316"/>
      <c r="R5" s="316"/>
      <c r="S5" s="316"/>
      <c r="T5" s="316"/>
      <c r="U5" s="316"/>
      <c r="V5" s="30">
        <v>50932</v>
      </c>
      <c r="W5" s="30">
        <v>89698</v>
      </c>
      <c r="X5" s="316">
        <v>109212</v>
      </c>
      <c r="Y5" s="316">
        <v>119391</v>
      </c>
      <c r="Z5" s="316"/>
      <c r="AA5" s="316"/>
      <c r="AB5" s="316">
        <v>9968</v>
      </c>
      <c r="AC5" s="316">
        <v>13776</v>
      </c>
      <c r="AD5" s="316"/>
      <c r="AE5" s="316">
        <v>73782</v>
      </c>
      <c r="AF5" s="316">
        <v>18881</v>
      </c>
      <c r="AG5" s="316">
        <v>37780</v>
      </c>
      <c r="AH5" s="316">
        <v>3370</v>
      </c>
      <c r="AI5" s="316">
        <v>8290</v>
      </c>
      <c r="AJ5" s="316"/>
      <c r="AK5" s="316"/>
      <c r="AL5" s="316"/>
      <c r="AM5" s="431"/>
      <c r="AN5" s="750">
        <v>26129</v>
      </c>
      <c r="AO5" s="750">
        <v>40438</v>
      </c>
      <c r="AP5" s="316"/>
      <c r="AQ5" s="316"/>
      <c r="AR5" s="316">
        <v>10581</v>
      </c>
      <c r="AS5" s="316"/>
      <c r="AT5" s="316">
        <v>2871</v>
      </c>
      <c r="AU5" s="316">
        <v>53616</v>
      </c>
      <c r="AV5" s="316">
        <f t="shared" ref="AV5:AW25" si="0">SUM(B5+D5+F5+H5+J5+L5+N5+P5+R5+T5+V5+X5+Z5+AB5+AD5+AF5+AH5+AJ5+AL5+AN5+AP5+AR5+AT5)</f>
        <v>244434</v>
      </c>
      <c r="AW5" s="316">
        <f t="shared" si="0"/>
        <v>498218</v>
      </c>
      <c r="AX5" s="316">
        <v>159401</v>
      </c>
      <c r="AY5" s="316">
        <v>2258613</v>
      </c>
      <c r="AZ5" s="316">
        <f t="shared" ref="AZ5:BA25" si="1">AV5+AX5</f>
        <v>403835</v>
      </c>
      <c r="BA5" s="317">
        <f t="shared" si="1"/>
        <v>2756831</v>
      </c>
    </row>
    <row r="6" spans="1:53" x14ac:dyDescent="0.3">
      <c r="A6" s="481" t="s">
        <v>76</v>
      </c>
      <c r="B6" s="37"/>
      <c r="C6" s="37"/>
      <c r="D6" s="11"/>
      <c r="E6" s="11"/>
      <c r="F6" s="11"/>
      <c r="G6" s="555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15"/>
      <c r="AA6" s="215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561"/>
      <c r="AM6" s="431"/>
      <c r="AN6" s="561"/>
      <c r="AO6" s="561"/>
      <c r="AP6" s="11"/>
      <c r="AQ6" s="11"/>
      <c r="AR6" s="157"/>
      <c r="AS6" s="157"/>
      <c r="AT6" s="11"/>
      <c r="AU6" s="11"/>
      <c r="AV6" s="8">
        <f t="shared" si="0"/>
        <v>0</v>
      </c>
      <c r="AW6" s="8">
        <f t="shared" si="0"/>
        <v>0</v>
      </c>
      <c r="AX6" s="157"/>
      <c r="AY6" s="157"/>
      <c r="AZ6" s="8">
        <f t="shared" si="1"/>
        <v>0</v>
      </c>
      <c r="BA6" s="749">
        <f t="shared" si="1"/>
        <v>0</v>
      </c>
    </row>
    <row r="7" spans="1:53" ht="28.5" x14ac:dyDescent="0.3">
      <c r="A7" s="481" t="s">
        <v>77</v>
      </c>
      <c r="B7" s="37">
        <v>14223</v>
      </c>
      <c r="C7" s="37">
        <v>15839</v>
      </c>
      <c r="D7" s="11">
        <v>97</v>
      </c>
      <c r="E7" s="11">
        <v>127</v>
      </c>
      <c r="F7" s="11">
        <v>3055</v>
      </c>
      <c r="G7" s="555">
        <v>2641</v>
      </c>
      <c r="H7" s="11">
        <v>42299</v>
      </c>
      <c r="I7" s="11">
        <v>41339</v>
      </c>
      <c r="J7" s="11">
        <v>2844</v>
      </c>
      <c r="K7" s="11">
        <v>2660</v>
      </c>
      <c r="L7" s="11">
        <v>5711</v>
      </c>
      <c r="M7" s="11">
        <v>6300</v>
      </c>
      <c r="N7" s="11">
        <v>3515</v>
      </c>
      <c r="O7" s="11">
        <v>3950</v>
      </c>
      <c r="P7" s="11">
        <v>1270</v>
      </c>
      <c r="Q7" s="11">
        <v>3560</v>
      </c>
      <c r="R7" s="11">
        <v>6056</v>
      </c>
      <c r="S7" s="11"/>
      <c r="T7" s="11">
        <v>644</v>
      </c>
      <c r="U7" s="11">
        <v>1043</v>
      </c>
      <c r="V7" s="11">
        <v>36738</v>
      </c>
      <c r="W7" s="11">
        <v>44268</v>
      </c>
      <c r="X7" s="11">
        <v>37641</v>
      </c>
      <c r="Y7" s="11">
        <v>46416</v>
      </c>
      <c r="Z7" s="38">
        <v>3626</v>
      </c>
      <c r="AA7" s="38">
        <v>3739</v>
      </c>
      <c r="AB7" s="11">
        <v>3563</v>
      </c>
      <c r="AC7" s="11">
        <v>3135</v>
      </c>
      <c r="AD7" s="11">
        <v>20382</v>
      </c>
      <c r="AE7" s="11">
        <v>21727</v>
      </c>
      <c r="AF7" s="11">
        <v>16287</v>
      </c>
      <c r="AG7" s="11">
        <v>22077</v>
      </c>
      <c r="AH7" s="11">
        <v>7444</v>
      </c>
      <c r="AI7" s="11">
        <v>9490</v>
      </c>
      <c r="AJ7" s="11">
        <v>6707</v>
      </c>
      <c r="AK7" s="11">
        <v>6736</v>
      </c>
      <c r="AL7" s="561"/>
      <c r="AM7" s="431"/>
      <c r="AN7" s="751">
        <v>42139</v>
      </c>
      <c r="AO7" s="751">
        <v>50246</v>
      </c>
      <c r="AP7" s="11">
        <v>3016</v>
      </c>
      <c r="AQ7" s="11">
        <v>3109</v>
      </c>
      <c r="AR7" s="157">
        <v>3234</v>
      </c>
      <c r="AS7" s="157"/>
      <c r="AT7" s="11">
        <v>10452</v>
      </c>
      <c r="AU7" s="11">
        <v>10798</v>
      </c>
      <c r="AV7" s="8">
        <f t="shared" si="0"/>
        <v>270943</v>
      </c>
      <c r="AW7" s="8">
        <f t="shared" si="0"/>
        <v>299200</v>
      </c>
      <c r="AX7" s="157">
        <v>9747</v>
      </c>
      <c r="AY7" s="157">
        <v>50805</v>
      </c>
      <c r="AZ7" s="8">
        <f t="shared" si="1"/>
        <v>280690</v>
      </c>
      <c r="BA7" s="749">
        <f t="shared" si="1"/>
        <v>350005</v>
      </c>
    </row>
    <row r="8" spans="1:53" ht="28.5" x14ac:dyDescent="0.3">
      <c r="A8" s="481" t="s">
        <v>78</v>
      </c>
      <c r="B8" s="37">
        <v>592</v>
      </c>
      <c r="C8" s="37">
        <v>28</v>
      </c>
      <c r="D8" s="11">
        <v>69</v>
      </c>
      <c r="E8" s="11"/>
      <c r="F8" s="11">
        <v>300</v>
      </c>
      <c r="G8" s="555">
        <v>63</v>
      </c>
      <c r="H8" s="11">
        <v>22259</v>
      </c>
      <c r="I8" s="11">
        <v>24951</v>
      </c>
      <c r="J8" s="11">
        <v>1586</v>
      </c>
      <c r="K8" s="11">
        <v>234</v>
      </c>
      <c r="L8" s="11">
        <v>916</v>
      </c>
      <c r="M8" s="11"/>
      <c r="N8" s="11">
        <v>606</v>
      </c>
      <c r="O8" s="11">
        <v>349</v>
      </c>
      <c r="P8" s="11">
        <v>1144</v>
      </c>
      <c r="Q8" s="11">
        <v>620</v>
      </c>
      <c r="R8" s="11">
        <v>666</v>
      </c>
      <c r="S8" s="11"/>
      <c r="T8" s="11">
        <v>509</v>
      </c>
      <c r="U8" s="11">
        <v>15</v>
      </c>
      <c r="V8" s="11">
        <v>28087</v>
      </c>
      <c r="W8" s="11">
        <v>8353</v>
      </c>
      <c r="X8" s="11">
        <v>48431</v>
      </c>
      <c r="Y8" s="11">
        <v>17956</v>
      </c>
      <c r="Z8" s="38">
        <v>225</v>
      </c>
      <c r="AA8" s="38">
        <v>143</v>
      </c>
      <c r="AB8" s="11">
        <v>392</v>
      </c>
      <c r="AC8" s="11">
        <v>42</v>
      </c>
      <c r="AD8" s="11"/>
      <c r="AE8" s="11">
        <v>35</v>
      </c>
      <c r="AF8" s="11">
        <v>9322</v>
      </c>
      <c r="AG8" s="11">
        <v>556</v>
      </c>
      <c r="AH8" s="11">
        <v>1823</v>
      </c>
      <c r="AI8" s="11">
        <v>66</v>
      </c>
      <c r="AJ8" s="11">
        <v>2110</v>
      </c>
      <c r="AK8" s="11">
        <v>1456</v>
      </c>
      <c r="AL8" s="561"/>
      <c r="AM8" s="431"/>
      <c r="AN8" s="751">
        <v>31302</v>
      </c>
      <c r="AO8" s="751">
        <v>7032</v>
      </c>
      <c r="AP8" s="11">
        <v>3033</v>
      </c>
      <c r="AQ8" s="11">
        <v>780</v>
      </c>
      <c r="AR8" s="157">
        <v>429</v>
      </c>
      <c r="AS8" s="157"/>
      <c r="AT8" s="11">
        <v>398</v>
      </c>
      <c r="AU8" s="11">
        <v>33</v>
      </c>
      <c r="AV8" s="8">
        <f t="shared" si="0"/>
        <v>154199</v>
      </c>
      <c r="AW8" s="8">
        <f t="shared" si="0"/>
        <v>62712</v>
      </c>
      <c r="AX8" s="157">
        <v>2267</v>
      </c>
      <c r="AY8" s="157">
        <v>7069</v>
      </c>
      <c r="AZ8" s="8">
        <f t="shared" si="1"/>
        <v>156466</v>
      </c>
      <c r="BA8" s="749">
        <f t="shared" si="1"/>
        <v>69781</v>
      </c>
    </row>
    <row r="9" spans="1:53" ht="28.5" x14ac:dyDescent="0.3">
      <c r="A9" s="481" t="s">
        <v>79</v>
      </c>
      <c r="B9" s="37">
        <v>-74</v>
      </c>
      <c r="C9" s="37"/>
      <c r="D9" s="11"/>
      <c r="E9" s="11"/>
      <c r="F9" s="11">
        <v>-56</v>
      </c>
      <c r="G9" s="555">
        <v>-11</v>
      </c>
      <c r="H9" s="11">
        <v>-5951</v>
      </c>
      <c r="I9" s="11">
        <v>-2978</v>
      </c>
      <c r="J9" s="11">
        <v>-428</v>
      </c>
      <c r="K9" s="11">
        <v>-126</v>
      </c>
      <c r="L9" s="11"/>
      <c r="M9" s="11">
        <v>-17</v>
      </c>
      <c r="N9" s="11">
        <v>-107</v>
      </c>
      <c r="O9" s="11">
        <v>-99</v>
      </c>
      <c r="P9" s="11">
        <v>-916</v>
      </c>
      <c r="Q9" s="11">
        <v>-217</v>
      </c>
      <c r="R9" s="11"/>
      <c r="S9" s="11"/>
      <c r="T9" s="11">
        <v>-15</v>
      </c>
      <c r="U9" s="11">
        <v>-20</v>
      </c>
      <c r="V9" s="11">
        <v>-639</v>
      </c>
      <c r="W9" s="11">
        <v>-4195</v>
      </c>
      <c r="X9" s="11">
        <v>-496</v>
      </c>
      <c r="Y9" s="11">
        <v>-1477</v>
      </c>
      <c r="Z9" s="38"/>
      <c r="AA9" s="38"/>
      <c r="AB9" s="11">
        <v>-58</v>
      </c>
      <c r="AC9" s="11"/>
      <c r="AD9" s="11">
        <v>-164</v>
      </c>
      <c r="AE9" s="11"/>
      <c r="AF9" s="11">
        <v>-425</v>
      </c>
      <c r="AG9" s="11">
        <v>-497</v>
      </c>
      <c r="AH9" s="11"/>
      <c r="AI9" s="11"/>
      <c r="AJ9" s="11">
        <v>-194</v>
      </c>
      <c r="AK9" s="11">
        <v>-124</v>
      </c>
      <c r="AL9" s="561"/>
      <c r="AM9" s="431"/>
      <c r="AN9" s="751">
        <v>-465</v>
      </c>
      <c r="AO9" s="751">
        <v>-284</v>
      </c>
      <c r="AP9" s="11">
        <v>-215</v>
      </c>
      <c r="AQ9" s="11">
        <v>-226</v>
      </c>
      <c r="AR9" s="157">
        <v>-3</v>
      </c>
      <c r="AS9" s="157"/>
      <c r="AT9" s="11">
        <v>-81</v>
      </c>
      <c r="AU9" s="11">
        <v>-98</v>
      </c>
      <c r="AV9" s="8">
        <f t="shared" si="0"/>
        <v>-10287</v>
      </c>
      <c r="AW9" s="8">
        <f t="shared" si="0"/>
        <v>-10369</v>
      </c>
      <c r="AX9" s="157">
        <v>-55</v>
      </c>
      <c r="AY9" s="157">
        <v>-201</v>
      </c>
      <c r="AZ9" s="8">
        <f t="shared" si="1"/>
        <v>-10342</v>
      </c>
      <c r="BA9" s="749">
        <f t="shared" si="1"/>
        <v>-10570</v>
      </c>
    </row>
    <row r="10" spans="1:53" ht="42.75" x14ac:dyDescent="0.3">
      <c r="A10" s="481" t="s">
        <v>80</v>
      </c>
      <c r="B10" s="8">
        <v>792</v>
      </c>
      <c r="C10" s="8">
        <v>1364</v>
      </c>
      <c r="D10" s="17">
        <v>77</v>
      </c>
      <c r="E10" s="17">
        <v>387</v>
      </c>
      <c r="F10" s="17"/>
      <c r="G10" s="555"/>
      <c r="H10" s="17">
        <v>-2000</v>
      </c>
      <c r="I10" s="17">
        <v>1394</v>
      </c>
      <c r="J10" s="17">
        <v>-15</v>
      </c>
      <c r="K10" s="17">
        <v>131</v>
      </c>
      <c r="L10" s="17">
        <v>255</v>
      </c>
      <c r="M10" s="17">
        <v>498</v>
      </c>
      <c r="N10" s="17">
        <v>-239</v>
      </c>
      <c r="O10" s="17">
        <v>-213</v>
      </c>
      <c r="P10" s="17"/>
      <c r="Q10" s="17"/>
      <c r="R10" s="17">
        <v>-401</v>
      </c>
      <c r="S10" s="17"/>
      <c r="T10" s="17">
        <v>33</v>
      </c>
      <c r="U10" s="17">
        <v>122</v>
      </c>
      <c r="V10" s="17"/>
      <c r="W10" s="17"/>
      <c r="X10" s="17">
        <v>-881</v>
      </c>
      <c r="Y10" s="17">
        <v>-899</v>
      </c>
      <c r="Z10" s="38">
        <v>187</v>
      </c>
      <c r="AA10" s="38">
        <v>438</v>
      </c>
      <c r="AB10" s="17">
        <v>-27</v>
      </c>
      <c r="AC10" s="17">
        <v>457</v>
      </c>
      <c r="AD10" s="564">
        <v>-133</v>
      </c>
      <c r="AE10" s="564">
        <v>1350</v>
      </c>
      <c r="AF10" s="17">
        <v>292</v>
      </c>
      <c r="AG10" s="17">
        <v>162</v>
      </c>
      <c r="AH10" s="17">
        <v>-7</v>
      </c>
      <c r="AI10" s="17">
        <v>360</v>
      </c>
      <c r="AJ10" s="17">
        <v>-269</v>
      </c>
      <c r="AK10" s="17">
        <v>-15</v>
      </c>
      <c r="AL10" s="561"/>
      <c r="AM10" s="431"/>
      <c r="AN10" s="751">
        <v>1507</v>
      </c>
      <c r="AO10" s="751">
        <v>1203</v>
      </c>
      <c r="AP10" s="11">
        <v>41.72</v>
      </c>
      <c r="AQ10" s="11">
        <v>210</v>
      </c>
      <c r="AR10" s="157">
        <v>-36</v>
      </c>
      <c r="AS10" s="157"/>
      <c r="AT10" s="17">
        <v>1370</v>
      </c>
      <c r="AU10" s="17">
        <v>1502</v>
      </c>
      <c r="AV10" s="8">
        <f t="shared" si="0"/>
        <v>546.72</v>
      </c>
      <c r="AW10" s="8">
        <f t="shared" si="0"/>
        <v>8451</v>
      </c>
      <c r="AX10" s="17"/>
      <c r="AY10" s="17"/>
      <c r="AZ10" s="8">
        <f t="shared" si="1"/>
        <v>546.72</v>
      </c>
      <c r="BA10" s="749">
        <f t="shared" si="1"/>
        <v>8451</v>
      </c>
    </row>
    <row r="11" spans="1:53" ht="42.75" x14ac:dyDescent="0.3">
      <c r="A11" s="481" t="s">
        <v>215</v>
      </c>
      <c r="B11" s="8"/>
      <c r="C11" s="8"/>
      <c r="D11" s="17"/>
      <c r="E11" s="17"/>
      <c r="F11" s="17"/>
      <c r="G11" s="555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38"/>
      <c r="AA11" s="38"/>
      <c r="AB11" s="17"/>
      <c r="AC11" s="17"/>
      <c r="AD11" s="564"/>
      <c r="AE11" s="564"/>
      <c r="AF11" s="17"/>
      <c r="AG11" s="17"/>
      <c r="AH11" s="17"/>
      <c r="AI11" s="17"/>
      <c r="AJ11" s="17"/>
      <c r="AK11" s="17"/>
      <c r="AL11" s="561"/>
      <c r="AM11" s="431"/>
      <c r="AN11" s="751"/>
      <c r="AO11" s="751"/>
      <c r="AP11" s="11"/>
      <c r="AQ11" s="11"/>
      <c r="AR11" s="157"/>
      <c r="AS11" s="157"/>
      <c r="AT11" s="17"/>
      <c r="AU11" s="17"/>
      <c r="AV11" s="8"/>
      <c r="AW11" s="8"/>
      <c r="AX11" s="17"/>
      <c r="AY11" s="17"/>
      <c r="AZ11" s="8"/>
      <c r="BA11" s="749"/>
    </row>
    <row r="12" spans="1:53" x14ac:dyDescent="0.3">
      <c r="A12" s="481" t="s">
        <v>81</v>
      </c>
      <c r="B12" s="37"/>
      <c r="C12" s="37"/>
      <c r="D12" s="11"/>
      <c r="E12" s="11"/>
      <c r="F12" s="11"/>
      <c r="G12" s="555"/>
      <c r="H12" s="11"/>
      <c r="I12" s="11">
        <v>295</v>
      </c>
      <c r="J12" s="11"/>
      <c r="K12" s="11"/>
      <c r="L12" s="11"/>
      <c r="M12" s="11"/>
      <c r="N12" s="11"/>
      <c r="O12" s="11">
        <v>1</v>
      </c>
      <c r="P12" s="11"/>
      <c r="Q12" s="11"/>
      <c r="R12" s="11"/>
      <c r="S12" s="11"/>
      <c r="T12" s="11"/>
      <c r="U12" s="11"/>
      <c r="V12" s="11"/>
      <c r="W12" s="11"/>
      <c r="X12" s="11">
        <v>915</v>
      </c>
      <c r="Y12" s="11">
        <v>971</v>
      </c>
      <c r="Z12" s="11">
        <v>140</v>
      </c>
      <c r="AA12" s="11">
        <v>39</v>
      </c>
      <c r="AB12" s="11">
        <v>519</v>
      </c>
      <c r="AC12" s="11">
        <v>609</v>
      </c>
      <c r="AD12" s="11"/>
      <c r="AE12" s="11"/>
      <c r="AF12" s="11">
        <v>205</v>
      </c>
      <c r="AG12" s="11">
        <v>1313</v>
      </c>
      <c r="AH12" s="11"/>
      <c r="AI12" s="11"/>
      <c r="AJ12" s="11"/>
      <c r="AK12" s="11"/>
      <c r="AL12" s="561"/>
      <c r="AM12" s="431"/>
      <c r="AN12" s="751">
        <v>531</v>
      </c>
      <c r="AO12" s="751">
        <v>45</v>
      </c>
      <c r="AP12" s="11"/>
      <c r="AQ12" s="11">
        <v>108</v>
      </c>
      <c r="AR12" s="157"/>
      <c r="AS12" s="157"/>
      <c r="AT12" s="11"/>
      <c r="AU12" s="11"/>
      <c r="AV12" s="8">
        <f t="shared" si="0"/>
        <v>2310</v>
      </c>
      <c r="AW12" s="8">
        <f t="shared" si="0"/>
        <v>3381</v>
      </c>
      <c r="AX12" s="157"/>
      <c r="AY12" s="157">
        <v>293</v>
      </c>
      <c r="AZ12" s="8">
        <f t="shared" si="1"/>
        <v>2310</v>
      </c>
      <c r="BA12" s="749">
        <f t="shared" si="1"/>
        <v>3674</v>
      </c>
    </row>
    <row r="13" spans="1:53" s="512" customFormat="1" x14ac:dyDescent="0.3">
      <c r="A13" s="509" t="s">
        <v>212</v>
      </c>
      <c r="B13" s="513">
        <f t="shared" ref="B13:X13" si="2">SUM(B5:B12)</f>
        <v>28356</v>
      </c>
      <c r="C13" s="513">
        <f>SUM(C5:C12)</f>
        <v>36404</v>
      </c>
      <c r="D13" s="513">
        <f t="shared" si="2"/>
        <v>243</v>
      </c>
      <c r="E13" s="513">
        <f>SUM(E5:E12)</f>
        <v>514</v>
      </c>
      <c r="F13" s="513">
        <f t="shared" si="2"/>
        <v>3299</v>
      </c>
      <c r="G13" s="513">
        <f t="shared" si="2"/>
        <v>2693</v>
      </c>
      <c r="H13" s="513">
        <f t="shared" si="2"/>
        <v>80808</v>
      </c>
      <c r="I13" s="513">
        <f>SUM(I5:I12)</f>
        <v>119577</v>
      </c>
      <c r="J13" s="513">
        <f t="shared" si="2"/>
        <v>-22784</v>
      </c>
      <c r="K13" s="513">
        <f>SUM(K5:K12)</f>
        <v>-17331</v>
      </c>
      <c r="L13" s="513">
        <f t="shared" si="2"/>
        <v>6882</v>
      </c>
      <c r="M13" s="513">
        <f>SUM(M5:M12)</f>
        <v>6781</v>
      </c>
      <c r="N13" s="513">
        <f t="shared" si="2"/>
        <v>6012</v>
      </c>
      <c r="O13" s="513">
        <f>SUM(O5:O12)</f>
        <v>11916</v>
      </c>
      <c r="P13" s="513">
        <f t="shared" si="2"/>
        <v>1498</v>
      </c>
      <c r="Q13" s="513">
        <f>SUM(Q5:Q12)</f>
        <v>3963</v>
      </c>
      <c r="R13" s="513">
        <f t="shared" si="2"/>
        <v>6321</v>
      </c>
      <c r="S13" s="513">
        <f>SUM(S5:S12)</f>
        <v>0</v>
      </c>
      <c r="T13" s="513">
        <f t="shared" si="2"/>
        <v>1171</v>
      </c>
      <c r="U13" s="513">
        <f>SUM(U5:U12)</f>
        <v>1160</v>
      </c>
      <c r="V13" s="513">
        <f t="shared" si="2"/>
        <v>115118</v>
      </c>
      <c r="W13" s="513">
        <f>SUM(W5:W12)</f>
        <v>138124</v>
      </c>
      <c r="X13" s="513">
        <f t="shared" si="2"/>
        <v>194822</v>
      </c>
      <c r="Y13" s="513">
        <f>SUM(Y5:Y12)</f>
        <v>182358</v>
      </c>
      <c r="Z13" s="513">
        <f t="shared" ref="Z13:AT13" si="3">SUM(Z5:Z12)</f>
        <v>4178</v>
      </c>
      <c r="AA13" s="513">
        <f>SUM(AA5:AA12)</f>
        <v>4359</v>
      </c>
      <c r="AB13" s="513">
        <f t="shared" si="3"/>
        <v>14357</v>
      </c>
      <c r="AC13" s="513">
        <f>SUM(AC5:AC12)</f>
        <v>18019</v>
      </c>
      <c r="AD13" s="513">
        <f t="shared" si="3"/>
        <v>20085</v>
      </c>
      <c r="AE13" s="513">
        <f>SUM(AE5:AE12)</f>
        <v>96894</v>
      </c>
      <c r="AF13" s="513">
        <f t="shared" si="3"/>
        <v>44562</v>
      </c>
      <c r="AG13" s="513">
        <f>SUM(AG5:AG12)</f>
        <v>61391</v>
      </c>
      <c r="AH13" s="513">
        <f t="shared" si="3"/>
        <v>12630</v>
      </c>
      <c r="AI13" s="513">
        <f>SUM(AI5:AI12)</f>
        <v>18206</v>
      </c>
      <c r="AJ13" s="513">
        <f t="shared" si="3"/>
        <v>8354</v>
      </c>
      <c r="AK13" s="513">
        <f>SUM(AK5:AK12)</f>
        <v>8053</v>
      </c>
      <c r="AL13" s="513">
        <f t="shared" si="3"/>
        <v>0</v>
      </c>
      <c r="AM13" s="558">
        <f t="shared" si="3"/>
        <v>0</v>
      </c>
      <c r="AN13" s="513">
        <f t="shared" si="3"/>
        <v>101143</v>
      </c>
      <c r="AO13" s="513">
        <f>SUM(AO5:AO12)</f>
        <v>98680</v>
      </c>
      <c r="AP13" s="513">
        <f t="shared" si="3"/>
        <v>5875.72</v>
      </c>
      <c r="AQ13" s="513">
        <f>SUM(AQ5:AQ12)</f>
        <v>3981</v>
      </c>
      <c r="AR13" s="513">
        <f t="shared" si="3"/>
        <v>14205</v>
      </c>
      <c r="AS13" s="513">
        <f>SUM(AS5:AS12)</f>
        <v>0</v>
      </c>
      <c r="AT13" s="513">
        <f t="shared" si="3"/>
        <v>15010</v>
      </c>
      <c r="AU13" s="513">
        <f>SUM(AU5:AU12)</f>
        <v>65851</v>
      </c>
      <c r="AV13" s="510">
        <f t="shared" si="0"/>
        <v>662145.72</v>
      </c>
      <c r="AW13" s="510">
        <f t="shared" si="0"/>
        <v>861593</v>
      </c>
      <c r="AX13" s="513">
        <f>SUM(AX5:AX12)</f>
        <v>171360</v>
      </c>
      <c r="AY13" s="513">
        <v>2316580</v>
      </c>
      <c r="AZ13" s="510">
        <f t="shared" si="1"/>
        <v>833505.72</v>
      </c>
      <c r="BA13" s="511">
        <f t="shared" si="1"/>
        <v>3178173</v>
      </c>
    </row>
    <row r="14" spans="1:53" ht="42.75" x14ac:dyDescent="0.3">
      <c r="A14" s="481" t="s">
        <v>82</v>
      </c>
      <c r="B14" s="37">
        <f>2655+1562</f>
        <v>4217</v>
      </c>
      <c r="C14" s="37">
        <v>3231</v>
      </c>
      <c r="D14" s="11">
        <v>630</v>
      </c>
      <c r="E14" s="11">
        <v>559</v>
      </c>
      <c r="F14" s="11">
        <v>253</v>
      </c>
      <c r="G14" s="555">
        <v>214</v>
      </c>
      <c r="H14" s="11">
        <v>1771</v>
      </c>
      <c r="I14" s="11">
        <v>2186</v>
      </c>
      <c r="J14" s="11">
        <v>164</v>
      </c>
      <c r="K14" s="11">
        <v>185</v>
      </c>
      <c r="L14" s="11">
        <f>270+182</f>
        <v>452</v>
      </c>
      <c r="M14" s="11">
        <f>369+239</f>
        <v>608</v>
      </c>
      <c r="N14" s="11">
        <v>1226</v>
      </c>
      <c r="O14" s="11">
        <v>1671</v>
      </c>
      <c r="P14" s="11">
        <f>56+145</f>
        <v>201</v>
      </c>
      <c r="Q14" s="11">
        <f>415</f>
        <v>415</v>
      </c>
      <c r="R14" s="11">
        <v>4153</v>
      </c>
      <c r="S14" s="11"/>
      <c r="T14" s="11">
        <v>114</v>
      </c>
      <c r="U14" s="11">
        <v>112</v>
      </c>
      <c r="V14" s="11">
        <v>1221</v>
      </c>
      <c r="W14" s="11">
        <v>1640</v>
      </c>
      <c r="X14" s="11">
        <v>1008</v>
      </c>
      <c r="Y14" s="11">
        <v>1480</v>
      </c>
      <c r="Z14" s="11">
        <v>261</v>
      </c>
      <c r="AA14" s="11">
        <v>287</v>
      </c>
      <c r="AB14" s="11">
        <v>598</v>
      </c>
      <c r="AC14" s="11">
        <v>547</v>
      </c>
      <c r="AD14" s="11">
        <v>178</v>
      </c>
      <c r="AE14" s="11">
        <v>210</v>
      </c>
      <c r="AF14" s="11">
        <v>4719</v>
      </c>
      <c r="AG14" s="11">
        <v>1718</v>
      </c>
      <c r="AH14" s="11">
        <v>500</v>
      </c>
      <c r="AI14" s="11">
        <v>1413</v>
      </c>
      <c r="AJ14" s="11">
        <v>2260</v>
      </c>
      <c r="AK14" s="11">
        <v>2541</v>
      </c>
      <c r="AL14" s="561"/>
      <c r="AM14" s="555"/>
      <c r="AN14" s="561"/>
      <c r="AO14" s="561"/>
      <c r="AP14" s="11">
        <v>125</v>
      </c>
      <c r="AQ14" s="11">
        <v>68</v>
      </c>
      <c r="AR14" s="157">
        <v>477</v>
      </c>
      <c r="AS14" s="157"/>
      <c r="AT14" s="11">
        <v>1337</v>
      </c>
      <c r="AU14" s="11">
        <v>786</v>
      </c>
      <c r="AV14" s="8">
        <f t="shared" si="0"/>
        <v>25865</v>
      </c>
      <c r="AW14" s="8">
        <f t="shared" si="0"/>
        <v>19871</v>
      </c>
      <c r="AX14" s="157">
        <v>38</v>
      </c>
      <c r="AY14" s="157">
        <v>29</v>
      </c>
      <c r="AZ14" s="8">
        <f t="shared" si="1"/>
        <v>25903</v>
      </c>
      <c r="BA14" s="749">
        <f t="shared" si="1"/>
        <v>19900</v>
      </c>
    </row>
    <row r="15" spans="1:53" x14ac:dyDescent="0.3">
      <c r="A15" s="481" t="s">
        <v>83</v>
      </c>
      <c r="B15" s="37"/>
      <c r="C15" s="37"/>
      <c r="D15" s="11"/>
      <c r="E15" s="11"/>
      <c r="F15" s="11"/>
      <c r="G15" s="555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561"/>
      <c r="AM15" s="555"/>
      <c r="AN15" s="752"/>
      <c r="AO15" s="752"/>
      <c r="AP15" s="11"/>
      <c r="AQ15" s="11"/>
      <c r="AR15" s="157"/>
      <c r="AS15" s="157"/>
      <c r="AT15" s="11"/>
      <c r="AU15" s="11"/>
      <c r="AV15" s="8">
        <f t="shared" si="0"/>
        <v>0</v>
      </c>
      <c r="AW15" s="8">
        <f t="shared" si="0"/>
        <v>0</v>
      </c>
      <c r="AX15" s="157"/>
      <c r="AY15" s="157"/>
      <c r="AZ15" s="8">
        <f t="shared" si="1"/>
        <v>0</v>
      </c>
      <c r="BA15" s="749">
        <f t="shared" si="1"/>
        <v>0</v>
      </c>
    </row>
    <row r="16" spans="1:53" x14ac:dyDescent="0.3">
      <c r="A16" s="481" t="s">
        <v>84</v>
      </c>
      <c r="B16" s="8"/>
      <c r="C16" s="8"/>
      <c r="D16" s="17"/>
      <c r="E16" s="17"/>
      <c r="F16" s="17"/>
      <c r="G16" s="555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38"/>
      <c r="AA16" s="38"/>
      <c r="AB16" s="17"/>
      <c r="AC16" s="17"/>
      <c r="AD16" s="564"/>
      <c r="AE16" s="564"/>
      <c r="AF16" s="17"/>
      <c r="AG16" s="17"/>
      <c r="AH16" s="17"/>
      <c r="AI16" s="17"/>
      <c r="AJ16" s="17"/>
      <c r="AK16" s="17"/>
      <c r="AL16" s="561"/>
      <c r="AM16" s="555"/>
      <c r="AN16" s="751">
        <v>92</v>
      </c>
      <c r="AO16" s="751">
        <v>100</v>
      </c>
      <c r="AP16" s="11"/>
      <c r="AQ16" s="11"/>
      <c r="AR16" s="157"/>
      <c r="AS16" s="157"/>
      <c r="AT16" s="17"/>
      <c r="AU16" s="17"/>
      <c r="AV16" s="8">
        <f t="shared" si="0"/>
        <v>92</v>
      </c>
      <c r="AW16" s="8">
        <f t="shared" si="0"/>
        <v>100</v>
      </c>
      <c r="AX16" s="17"/>
      <c r="AY16" s="17"/>
      <c r="AZ16" s="8">
        <f t="shared" si="1"/>
        <v>92</v>
      </c>
      <c r="BA16" s="749">
        <f t="shared" si="1"/>
        <v>100</v>
      </c>
    </row>
    <row r="17" spans="1:53" ht="28.5" x14ac:dyDescent="0.3">
      <c r="A17" s="481" t="s">
        <v>85</v>
      </c>
      <c r="B17" s="37"/>
      <c r="C17" s="37"/>
      <c r="D17" s="11"/>
      <c r="E17" s="11"/>
      <c r="F17" s="11"/>
      <c r="G17" s="555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38"/>
      <c r="AA17" s="38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561"/>
      <c r="AM17" s="555"/>
      <c r="AN17" s="751"/>
      <c r="AO17" s="751">
        <v>1</v>
      </c>
      <c r="AP17" s="11"/>
      <c r="AQ17" s="11"/>
      <c r="AR17" s="157"/>
      <c r="AS17" s="157"/>
      <c r="AT17" s="11"/>
      <c r="AU17" s="11"/>
      <c r="AV17" s="8">
        <f t="shared" si="0"/>
        <v>0</v>
      </c>
      <c r="AW17" s="8">
        <f t="shared" si="0"/>
        <v>1</v>
      </c>
      <c r="AX17" s="11"/>
      <c r="AY17" s="11"/>
      <c r="AZ17" s="8">
        <f t="shared" si="1"/>
        <v>0</v>
      </c>
      <c r="BA17" s="749">
        <f t="shared" si="1"/>
        <v>1</v>
      </c>
    </row>
    <row r="18" spans="1:53" x14ac:dyDescent="0.3">
      <c r="A18" s="481" t="s">
        <v>86</v>
      </c>
      <c r="B18" s="37"/>
      <c r="C18" s="37"/>
      <c r="D18" s="11"/>
      <c r="E18" s="11"/>
      <c r="F18" s="11"/>
      <c r="G18" s="55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38"/>
      <c r="AA18" s="38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561"/>
      <c r="AM18" s="555"/>
      <c r="AN18" s="751">
        <v>14</v>
      </c>
      <c r="AO18" s="751"/>
      <c r="AP18" s="11"/>
      <c r="AQ18" s="11"/>
      <c r="AR18" s="157"/>
      <c r="AS18" s="157"/>
      <c r="AT18" s="11"/>
      <c r="AU18" s="11"/>
      <c r="AV18" s="8">
        <f t="shared" si="0"/>
        <v>14</v>
      </c>
      <c r="AW18" s="8">
        <f t="shared" si="0"/>
        <v>0</v>
      </c>
      <c r="AX18" s="11"/>
      <c r="AY18" s="11"/>
      <c r="AZ18" s="8">
        <f t="shared" si="1"/>
        <v>14</v>
      </c>
      <c r="BA18" s="749">
        <f t="shared" si="1"/>
        <v>0</v>
      </c>
    </row>
    <row r="19" spans="1:53" x14ac:dyDescent="0.3">
      <c r="A19" s="481" t="s">
        <v>87</v>
      </c>
      <c r="B19" s="37">
        <v>418</v>
      </c>
      <c r="C19" s="37">
        <v>386</v>
      </c>
      <c r="D19" s="11"/>
      <c r="E19" s="11"/>
      <c r="F19" s="11">
        <v>183</v>
      </c>
      <c r="G19" s="555">
        <v>485</v>
      </c>
      <c r="H19" s="11">
        <v>922</v>
      </c>
      <c r="I19" s="11">
        <v>1426</v>
      </c>
      <c r="J19" s="11"/>
      <c r="K19" s="11"/>
      <c r="L19" s="11"/>
      <c r="M19" s="11"/>
      <c r="N19" s="11">
        <f>1968</f>
        <v>1968</v>
      </c>
      <c r="O19" s="11">
        <v>2696</v>
      </c>
      <c r="P19" s="11"/>
      <c r="Q19" s="11"/>
      <c r="R19" s="11"/>
      <c r="S19" s="11"/>
      <c r="T19" s="11">
        <v>307</v>
      </c>
      <c r="U19" s="11">
        <v>530</v>
      </c>
      <c r="V19" s="11">
        <v>565</v>
      </c>
      <c r="W19" s="11">
        <v>530</v>
      </c>
      <c r="X19" s="11"/>
      <c r="Y19" s="11"/>
      <c r="Z19" s="38">
        <v>182</v>
      </c>
      <c r="AA19" s="38">
        <v>231</v>
      </c>
      <c r="AB19" s="11">
        <v>645</v>
      </c>
      <c r="AC19" s="11">
        <v>1437</v>
      </c>
      <c r="AD19" s="11">
        <v>203</v>
      </c>
      <c r="AE19" s="11">
        <v>267</v>
      </c>
      <c r="AF19" s="11"/>
      <c r="AG19" s="11"/>
      <c r="AH19" s="11">
        <v>49</v>
      </c>
      <c r="AI19" s="11">
        <v>2447</v>
      </c>
      <c r="AJ19" s="11">
        <v>534</v>
      </c>
      <c r="AK19" s="11"/>
      <c r="AL19" s="561"/>
      <c r="AM19" s="555"/>
      <c r="AN19" s="751">
        <v>12509</v>
      </c>
      <c r="AO19" s="751">
        <v>774</v>
      </c>
      <c r="AP19" s="11"/>
      <c r="AQ19" s="11"/>
      <c r="AR19" s="157">
        <f>101+1</f>
        <v>102</v>
      </c>
      <c r="AS19" s="157"/>
      <c r="AT19" s="11"/>
      <c r="AU19" s="11">
        <v>2893</v>
      </c>
      <c r="AV19" s="8">
        <f t="shared" si="0"/>
        <v>18587</v>
      </c>
      <c r="AW19" s="8">
        <f t="shared" si="0"/>
        <v>14102</v>
      </c>
      <c r="AX19" s="11"/>
      <c r="AY19" s="11"/>
      <c r="AZ19" s="8">
        <f t="shared" si="1"/>
        <v>18587</v>
      </c>
      <c r="BA19" s="749">
        <f t="shared" si="1"/>
        <v>14102</v>
      </c>
    </row>
    <row r="20" spans="1:53" ht="28.5" x14ac:dyDescent="0.3">
      <c r="A20" s="481" t="s">
        <v>88</v>
      </c>
      <c r="B20" s="37">
        <v>94</v>
      </c>
      <c r="C20" s="37">
        <v>125</v>
      </c>
      <c r="D20" s="11"/>
      <c r="E20" s="11"/>
      <c r="F20" s="11"/>
      <c r="G20" s="555"/>
      <c r="H20" s="11">
        <v>917</v>
      </c>
      <c r="I20" s="11">
        <v>744</v>
      </c>
      <c r="J20" s="11">
        <v>406</v>
      </c>
      <c r="K20" s="11">
        <v>401</v>
      </c>
      <c r="L20" s="11">
        <v>202</v>
      </c>
      <c r="M20" s="11">
        <v>180</v>
      </c>
      <c r="N20" s="11">
        <v>10</v>
      </c>
      <c r="O20" s="11"/>
      <c r="P20" s="11"/>
      <c r="Q20" s="11"/>
      <c r="R20" s="11">
        <v>51</v>
      </c>
      <c r="S20" s="11"/>
      <c r="T20" s="11"/>
      <c r="U20" s="11"/>
      <c r="V20" s="11">
        <v>1290</v>
      </c>
      <c r="W20" s="11">
        <v>1629</v>
      </c>
      <c r="X20" s="11">
        <v>308</v>
      </c>
      <c r="Y20" s="11">
        <v>168</v>
      </c>
      <c r="Z20" s="38">
        <v>270</v>
      </c>
      <c r="AA20" s="38">
        <v>251</v>
      </c>
      <c r="AB20" s="11"/>
      <c r="AC20" s="11"/>
      <c r="AD20" s="11">
        <v>900</v>
      </c>
      <c r="AE20" s="11">
        <v>828</v>
      </c>
      <c r="AF20" s="11">
        <v>630</v>
      </c>
      <c r="AG20" s="11">
        <v>750</v>
      </c>
      <c r="AH20" s="11">
        <v>180</v>
      </c>
      <c r="AI20" s="11">
        <v>155</v>
      </c>
      <c r="AJ20" s="11"/>
      <c r="AK20" s="11"/>
      <c r="AL20" s="561"/>
      <c r="AM20" s="555"/>
      <c r="AN20" s="751">
        <v>1858</v>
      </c>
      <c r="AO20" s="751">
        <v>1666</v>
      </c>
      <c r="AP20" s="11">
        <v>132</v>
      </c>
      <c r="AQ20" s="11">
        <v>90</v>
      </c>
      <c r="AR20" s="157">
        <v>125</v>
      </c>
      <c r="AS20" s="157"/>
      <c r="AT20" s="11">
        <v>141</v>
      </c>
      <c r="AU20" s="11">
        <v>62</v>
      </c>
      <c r="AV20" s="8">
        <f t="shared" si="0"/>
        <v>7514</v>
      </c>
      <c r="AW20" s="8">
        <f t="shared" si="0"/>
        <v>7049</v>
      </c>
      <c r="AX20" s="11"/>
      <c r="AY20" s="11"/>
      <c r="AZ20" s="8">
        <f t="shared" si="1"/>
        <v>7514</v>
      </c>
      <c r="BA20" s="749">
        <f t="shared" si="1"/>
        <v>7049</v>
      </c>
    </row>
    <row r="21" spans="1:53" x14ac:dyDescent="0.3">
      <c r="A21" s="481" t="s">
        <v>89</v>
      </c>
      <c r="B21" s="8"/>
      <c r="C21" s="8"/>
      <c r="D21" s="17"/>
      <c r="E21" s="17"/>
      <c r="F21" s="17"/>
      <c r="G21" s="555"/>
      <c r="H21" s="17"/>
      <c r="I21" s="17"/>
      <c r="J21" s="17"/>
      <c r="K21" s="17"/>
      <c r="L21" s="17"/>
      <c r="M21" s="17">
        <v>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8"/>
      <c r="AA21" s="38"/>
      <c r="AB21" s="17"/>
      <c r="AC21" s="17"/>
      <c r="AD21" s="564"/>
      <c r="AE21" s="564"/>
      <c r="AF21" s="17"/>
      <c r="AG21" s="17"/>
      <c r="AH21" s="17"/>
      <c r="AI21" s="17"/>
      <c r="AJ21" s="17"/>
      <c r="AK21" s="17"/>
      <c r="AL21" s="561"/>
      <c r="AM21" s="555"/>
      <c r="AN21" s="752"/>
      <c r="AO21" s="752"/>
      <c r="AP21" s="11"/>
      <c r="AQ21" s="11"/>
      <c r="AR21" s="157"/>
      <c r="AS21" s="157"/>
      <c r="AT21" s="17">
        <v>-0.31</v>
      </c>
      <c r="AU21" s="17">
        <v>269.22000000000003</v>
      </c>
      <c r="AV21" s="8">
        <f t="shared" si="0"/>
        <v>-0.31</v>
      </c>
      <c r="AW21" s="8">
        <f t="shared" si="0"/>
        <v>270.22000000000003</v>
      </c>
      <c r="AX21" s="17"/>
      <c r="AY21" s="17"/>
      <c r="AZ21" s="8">
        <f t="shared" si="1"/>
        <v>-0.31</v>
      </c>
      <c r="BA21" s="749">
        <f t="shared" si="1"/>
        <v>270.22000000000003</v>
      </c>
    </row>
    <row r="22" spans="1:53" ht="28.5" x14ac:dyDescent="0.3">
      <c r="A22" s="481" t="s">
        <v>90</v>
      </c>
      <c r="B22" s="37">
        <v>13686</v>
      </c>
      <c r="C22" s="37">
        <v>19354</v>
      </c>
      <c r="D22" s="11">
        <f>7961+65</f>
        <v>8026</v>
      </c>
      <c r="E22" s="11">
        <f>8078+183</f>
        <v>8261</v>
      </c>
      <c r="F22" s="11">
        <v>2754</v>
      </c>
      <c r="G22" s="555">
        <f>4564+70</f>
        <v>4634</v>
      </c>
      <c r="H22" s="11">
        <v>48580</v>
      </c>
      <c r="I22" s="11">
        <v>78190</v>
      </c>
      <c r="J22" s="11"/>
      <c r="K22" s="11"/>
      <c r="L22" s="11">
        <f>107+63+19723+96+618</f>
        <v>20607</v>
      </c>
      <c r="M22" s="11">
        <f>94+121+11072+53</f>
        <v>11340</v>
      </c>
      <c r="N22" s="215">
        <v>6702</v>
      </c>
      <c r="O22" s="215">
        <v>169</v>
      </c>
      <c r="P22" s="11">
        <v>19275</v>
      </c>
      <c r="Q22" s="11">
        <v>20107</v>
      </c>
      <c r="R22" s="11">
        <v>15486</v>
      </c>
      <c r="S22" s="11"/>
      <c r="T22" s="11">
        <v>8823</v>
      </c>
      <c r="U22" s="11">
        <v>17872</v>
      </c>
      <c r="V22" s="11">
        <v>26442</v>
      </c>
      <c r="W22" s="11">
        <v>32397</v>
      </c>
      <c r="X22" s="11">
        <v>118353</v>
      </c>
      <c r="Y22" s="11">
        <v>107003</v>
      </c>
      <c r="Z22" s="38"/>
      <c r="AA22" s="38"/>
      <c r="AB22" s="11">
        <v>38812</v>
      </c>
      <c r="AC22" s="11">
        <v>18465</v>
      </c>
      <c r="AD22" s="11">
        <v>10451</v>
      </c>
      <c r="AE22" s="11">
        <v>7932</v>
      </c>
      <c r="AF22" s="11">
        <v>13004</v>
      </c>
      <c r="AG22" s="11">
        <v>12047</v>
      </c>
      <c r="AH22" s="11">
        <v>19460</v>
      </c>
      <c r="AI22" s="11">
        <v>3906</v>
      </c>
      <c r="AJ22" s="11">
        <v>7850</v>
      </c>
      <c r="AK22" s="11">
        <v>287</v>
      </c>
      <c r="AL22" s="561"/>
      <c r="AM22" s="555"/>
      <c r="AN22" s="752"/>
      <c r="AO22" s="752"/>
      <c r="AP22" s="11">
        <v>9655</v>
      </c>
      <c r="AQ22" s="11">
        <v>288</v>
      </c>
      <c r="AR22" s="157">
        <v>27476</v>
      </c>
      <c r="AS22" s="157"/>
      <c r="AT22" s="11">
        <v>31268</v>
      </c>
      <c r="AU22" s="11">
        <v>66323</v>
      </c>
      <c r="AV22" s="8">
        <f t="shared" si="0"/>
        <v>446710</v>
      </c>
      <c r="AW22" s="8">
        <f t="shared" si="0"/>
        <v>408575</v>
      </c>
      <c r="AX22" s="157"/>
      <c r="AY22" s="157">
        <v>13058</v>
      </c>
      <c r="AZ22" s="8">
        <f t="shared" si="1"/>
        <v>446710</v>
      </c>
      <c r="BA22" s="749">
        <f t="shared" si="1"/>
        <v>421633</v>
      </c>
    </row>
    <row r="23" spans="1:53" ht="28.5" x14ac:dyDescent="0.3">
      <c r="A23" s="481" t="s">
        <v>91</v>
      </c>
      <c r="B23" s="37"/>
      <c r="C23" s="37"/>
      <c r="D23" s="11"/>
      <c r="E23" s="11"/>
      <c r="F23" s="11"/>
      <c r="G23" s="55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>
        <f>443+6193</f>
        <v>6636</v>
      </c>
      <c r="Y23" s="11">
        <f>411+6193</f>
        <v>6604</v>
      </c>
      <c r="Z23" s="38"/>
      <c r="AA23" s="38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561"/>
      <c r="AM23" s="555"/>
      <c r="AN23" s="561"/>
      <c r="AO23" s="561"/>
      <c r="AP23" s="11"/>
      <c r="AQ23" s="11"/>
      <c r="AR23" s="157"/>
      <c r="AS23" s="157"/>
      <c r="AT23" s="11"/>
      <c r="AU23" s="11"/>
      <c r="AV23" s="8">
        <f t="shared" si="0"/>
        <v>6636</v>
      </c>
      <c r="AW23" s="8">
        <f t="shared" si="0"/>
        <v>6604</v>
      </c>
      <c r="AX23" s="157"/>
      <c r="AY23" s="157"/>
      <c r="AZ23" s="8">
        <f t="shared" si="1"/>
        <v>6636</v>
      </c>
      <c r="BA23" s="749">
        <f t="shared" si="1"/>
        <v>6604</v>
      </c>
    </row>
    <row r="24" spans="1:53" ht="28.5" x14ac:dyDescent="0.3">
      <c r="A24" s="481" t="s">
        <v>92</v>
      </c>
      <c r="B24" s="37"/>
      <c r="C24" s="37"/>
      <c r="D24" s="11"/>
      <c r="E24" s="11"/>
      <c r="F24" s="11">
        <v>-103</v>
      </c>
      <c r="G24" s="555"/>
      <c r="H24" s="11">
        <v>-12718</v>
      </c>
      <c r="I24" s="11">
        <v>1339</v>
      </c>
      <c r="J24" s="11"/>
      <c r="K24" s="11"/>
      <c r="L24" s="11"/>
      <c r="M24" s="11"/>
      <c r="N24" s="11">
        <v>188</v>
      </c>
      <c r="O24" s="11"/>
      <c r="P24" s="11">
        <v>-1667</v>
      </c>
      <c r="Q24" s="11">
        <v>-834</v>
      </c>
      <c r="R24" s="11"/>
      <c r="S24" s="11"/>
      <c r="T24" s="11"/>
      <c r="U24" s="11">
        <v>39</v>
      </c>
      <c r="V24" s="11">
        <v>-3274</v>
      </c>
      <c r="W24" s="11">
        <v>-2390</v>
      </c>
      <c r="X24" s="11">
        <v>12075</v>
      </c>
      <c r="Y24" s="11">
        <v>8793</v>
      </c>
      <c r="Z24" s="38">
        <v>-62</v>
      </c>
      <c r="AA24" s="38">
        <v>161</v>
      </c>
      <c r="AB24" s="11"/>
      <c r="AC24" s="11"/>
      <c r="AD24" s="11">
        <v>-48</v>
      </c>
      <c r="AE24" s="11"/>
      <c r="AF24" s="11">
        <v>-118</v>
      </c>
      <c r="AG24" s="11"/>
      <c r="AH24" s="11"/>
      <c r="AI24" s="11"/>
      <c r="AJ24" s="11">
        <v>-745</v>
      </c>
      <c r="AK24" s="11"/>
      <c r="AL24" s="561"/>
      <c r="AM24" s="555"/>
      <c r="AN24" s="751"/>
      <c r="AO24" s="751">
        <v>-346</v>
      </c>
      <c r="AP24" s="11"/>
      <c r="AQ24" s="11"/>
      <c r="AR24" s="157">
        <v>-1120</v>
      </c>
      <c r="AS24" s="157"/>
      <c r="AT24" s="11"/>
      <c r="AU24" s="11"/>
      <c r="AV24" s="8">
        <f t="shared" si="0"/>
        <v>-7592</v>
      </c>
      <c r="AW24" s="8">
        <f t="shared" si="0"/>
        <v>6762</v>
      </c>
      <c r="AX24" s="157"/>
      <c r="AY24" s="157"/>
      <c r="AZ24" s="8">
        <f t="shared" si="1"/>
        <v>-7592</v>
      </c>
      <c r="BA24" s="749">
        <f t="shared" si="1"/>
        <v>6762</v>
      </c>
    </row>
    <row r="25" spans="1:53" ht="28.5" x14ac:dyDescent="0.3">
      <c r="A25" s="481" t="s">
        <v>93</v>
      </c>
      <c r="B25" s="37"/>
      <c r="C25" s="37"/>
      <c r="D25" s="11">
        <v>155</v>
      </c>
      <c r="E25" s="11"/>
      <c r="F25" s="11"/>
      <c r="G25" s="555"/>
      <c r="H25" s="11"/>
      <c r="I25" s="11"/>
      <c r="J25" s="11"/>
      <c r="K25" s="11"/>
      <c r="L25" s="11">
        <v>49</v>
      </c>
      <c r="M25" s="11"/>
      <c r="N25" s="11"/>
      <c r="O25" s="11"/>
      <c r="P25" s="11"/>
      <c r="Q25" s="11"/>
      <c r="R25" s="11"/>
      <c r="S25" s="11"/>
      <c r="T25" s="11"/>
      <c r="U25" s="11">
        <v>-74</v>
      </c>
      <c r="V25" s="11"/>
      <c r="W25" s="11"/>
      <c r="X25" s="11">
        <v>-791</v>
      </c>
      <c r="Y25" s="11"/>
      <c r="Z25" s="38"/>
      <c r="AA25" s="38"/>
      <c r="AB25" s="11">
        <v>54</v>
      </c>
      <c r="AC25" s="11">
        <v>105</v>
      </c>
      <c r="AD25" s="11"/>
      <c r="AE25" s="11"/>
      <c r="AF25" s="11"/>
      <c r="AG25" s="11"/>
      <c r="AH25" s="11"/>
      <c r="AI25" s="11"/>
      <c r="AJ25" s="11"/>
      <c r="AK25" s="11"/>
      <c r="AL25" s="561"/>
      <c r="AM25" s="555"/>
      <c r="AN25" s="752"/>
      <c r="AO25" s="752"/>
      <c r="AP25" s="11"/>
      <c r="AQ25" s="11"/>
      <c r="AR25" s="157">
        <v>16</v>
      </c>
      <c r="AS25" s="157"/>
      <c r="AT25" s="11">
        <v>126</v>
      </c>
      <c r="AU25" s="11">
        <v>-63</v>
      </c>
      <c r="AV25" s="8">
        <f t="shared" si="0"/>
        <v>-391</v>
      </c>
      <c r="AW25" s="8">
        <f t="shared" si="0"/>
        <v>-32</v>
      </c>
      <c r="AX25" s="157"/>
      <c r="AY25" s="157"/>
      <c r="AZ25" s="8">
        <f t="shared" si="1"/>
        <v>-391</v>
      </c>
      <c r="BA25" s="749">
        <f t="shared" si="1"/>
        <v>-32</v>
      </c>
    </row>
    <row r="26" spans="1:53" x14ac:dyDescent="0.3">
      <c r="A26" s="481" t="s">
        <v>137</v>
      </c>
      <c r="B26" s="37"/>
      <c r="C26" s="37"/>
      <c r="D26" s="11">
        <v>499</v>
      </c>
      <c r="E26" s="11">
        <v>499</v>
      </c>
      <c r="F26" s="11"/>
      <c r="G26" s="555"/>
      <c r="H26" s="11">
        <v>12718</v>
      </c>
      <c r="I26" s="11"/>
      <c r="J26" s="11">
        <v>154</v>
      </c>
      <c r="K26" s="11">
        <f>47+261</f>
        <v>308</v>
      </c>
      <c r="L26" s="11"/>
      <c r="M26" s="11"/>
      <c r="N26" s="11"/>
      <c r="O26" s="11">
        <v>1</v>
      </c>
      <c r="P26" s="11"/>
      <c r="Q26" s="11"/>
      <c r="R26" s="11"/>
      <c r="S26" s="11"/>
      <c r="T26" s="11">
        <v>189</v>
      </c>
      <c r="U26" s="11">
        <v>190</v>
      </c>
      <c r="V26" s="11">
        <v>3015</v>
      </c>
      <c r="W26" s="11">
        <v>4526</v>
      </c>
      <c r="X26" s="11"/>
      <c r="Y26" s="11"/>
      <c r="Z26" s="38"/>
      <c r="AA26" s="38"/>
      <c r="AB26" s="11"/>
      <c r="AC26" s="11"/>
      <c r="AD26" s="11"/>
      <c r="AE26" s="11"/>
      <c r="AF26" s="11"/>
      <c r="AG26" s="11">
        <f>2813+300</f>
        <v>3113</v>
      </c>
      <c r="AH26" s="11"/>
      <c r="AI26" s="11"/>
      <c r="AJ26" s="11">
        <v>851</v>
      </c>
      <c r="AK26" s="11">
        <v>147</v>
      </c>
      <c r="AL26" s="561"/>
      <c r="AM26" s="555"/>
      <c r="AN26" s="752"/>
      <c r="AO26" s="752"/>
      <c r="AP26" s="753"/>
      <c r="AQ26" s="753"/>
      <c r="AR26" s="157"/>
      <c r="AS26" s="157"/>
      <c r="AT26" s="11"/>
      <c r="AU26" s="11"/>
      <c r="AV26" s="8"/>
      <c r="AW26" s="8"/>
      <c r="AX26" s="157"/>
      <c r="AY26" s="157"/>
      <c r="AZ26" s="8"/>
      <c r="BA26" s="749"/>
    </row>
    <row r="27" spans="1:53" s="512" customFormat="1" x14ac:dyDescent="0.3">
      <c r="A27" s="509" t="s">
        <v>211</v>
      </c>
      <c r="B27" s="510">
        <f>SUM(B14:B25)</f>
        <v>18415</v>
      </c>
      <c r="C27" s="510">
        <f>SUM(C14:C25)</f>
        <v>23096</v>
      </c>
      <c r="D27" s="510">
        <f>SUM(D14:D26)</f>
        <v>9310</v>
      </c>
      <c r="E27" s="510">
        <f>SUM(E14:E26)</f>
        <v>9319</v>
      </c>
      <c r="F27" s="510">
        <f>SUM(F14:F26)</f>
        <v>3087</v>
      </c>
      <c r="G27" s="510">
        <f>SUM(G14:G26)</f>
        <v>5333</v>
      </c>
      <c r="H27" s="510">
        <f>SUM(H14:H26)</f>
        <v>52190</v>
      </c>
      <c r="I27" s="510">
        <f>SUM(I14:I25)</f>
        <v>83885</v>
      </c>
      <c r="J27" s="510">
        <f t="shared" ref="J27:O27" si="4">SUM(J14:J26)</f>
        <v>724</v>
      </c>
      <c r="K27" s="510">
        <f t="shared" si="4"/>
        <v>894</v>
      </c>
      <c r="L27" s="510">
        <f t="shared" si="4"/>
        <v>21310</v>
      </c>
      <c r="M27" s="510">
        <f t="shared" si="4"/>
        <v>12129</v>
      </c>
      <c r="N27" s="510">
        <f t="shared" si="4"/>
        <v>10094</v>
      </c>
      <c r="O27" s="510">
        <f t="shared" si="4"/>
        <v>4537</v>
      </c>
      <c r="P27" s="510">
        <f t="shared" ref="P27:AA27" si="5">SUM(P14:P25)</f>
        <v>17809</v>
      </c>
      <c r="Q27" s="510">
        <f t="shared" si="5"/>
        <v>19688</v>
      </c>
      <c r="R27" s="510">
        <f t="shared" si="5"/>
        <v>19690</v>
      </c>
      <c r="S27" s="510">
        <f t="shared" si="5"/>
        <v>0</v>
      </c>
      <c r="T27" s="510">
        <f t="shared" si="5"/>
        <v>9244</v>
      </c>
      <c r="U27" s="510">
        <f>SUM(U14:U26)</f>
        <v>18669</v>
      </c>
      <c r="V27" s="510">
        <f>SUM(V14:V26)</f>
        <v>29259</v>
      </c>
      <c r="W27" s="510">
        <f>SUM(W14:W26)</f>
        <v>38332</v>
      </c>
      <c r="X27" s="510">
        <f t="shared" si="5"/>
        <v>137589</v>
      </c>
      <c r="Y27" s="510">
        <f t="shared" si="5"/>
        <v>124048</v>
      </c>
      <c r="Z27" s="510">
        <f t="shared" si="5"/>
        <v>651</v>
      </c>
      <c r="AA27" s="510">
        <f t="shared" si="5"/>
        <v>930</v>
      </c>
      <c r="AB27" s="510">
        <f>SUM(AB14:AB26)</f>
        <v>40109</v>
      </c>
      <c r="AC27" s="510">
        <f>SUM(AC14:AC26)</f>
        <v>20554</v>
      </c>
      <c r="AD27" s="510">
        <f>SUM(AD14:AD25)</f>
        <v>11684</v>
      </c>
      <c r="AE27" s="510">
        <f>SUM(AE14:AE25)</f>
        <v>9237</v>
      </c>
      <c r="AF27" s="510">
        <f>SUM(AF14:AF26)</f>
        <v>18235</v>
      </c>
      <c r="AG27" s="510">
        <f>SUM(AG14:AG26)</f>
        <v>17628</v>
      </c>
      <c r="AH27" s="510">
        <f t="shared" ref="AH27:AM27" si="6">SUM(AH14:AH25)</f>
        <v>20189</v>
      </c>
      <c r="AI27" s="510">
        <f t="shared" si="6"/>
        <v>7921</v>
      </c>
      <c r="AJ27" s="510">
        <f>SUM(AJ14:AJ26)</f>
        <v>10750</v>
      </c>
      <c r="AK27" s="510">
        <f>SUM(AK14:AK26)</f>
        <v>2975</v>
      </c>
      <c r="AL27" s="510">
        <f t="shared" si="6"/>
        <v>0</v>
      </c>
      <c r="AM27" s="559">
        <f t="shared" si="6"/>
        <v>0</v>
      </c>
      <c r="AN27" s="510">
        <f>SUM(AN14:AN26)</f>
        <v>14473</v>
      </c>
      <c r="AO27" s="510">
        <f>SUM(AO14:AO26)</f>
        <v>2195</v>
      </c>
      <c r="AP27" s="511">
        <f>SUM(AP14:AP25)</f>
        <v>9912</v>
      </c>
      <c r="AQ27" s="511">
        <f>SUM(AQ14:AQ25)</f>
        <v>446</v>
      </c>
      <c r="AR27" s="510">
        <f>SUM(AR14:AR26)</f>
        <v>27076</v>
      </c>
      <c r="AS27" s="510">
        <f>SUM(AS14:AS26)</f>
        <v>0</v>
      </c>
      <c r="AT27" s="510">
        <f>SUM(AT14:AT25)</f>
        <v>32871.69</v>
      </c>
      <c r="AU27" s="510">
        <f>SUM(AU14:AU25)</f>
        <v>70270.22</v>
      </c>
      <c r="AV27" s="510">
        <f t="shared" ref="AV27:AW29" si="7">SUM(B27+D27+F27+H27+J27+L27+N27+P27+R27+T27+V27+X27+Z27+AB27+AD27+AF27+AH27+AJ27+AL27+AN27+AP27+AR27+AT27)</f>
        <v>514671.69</v>
      </c>
      <c r="AW27" s="510">
        <f t="shared" si="7"/>
        <v>472086.22</v>
      </c>
      <c r="AX27" s="510">
        <v>38</v>
      </c>
      <c r="AY27" s="510">
        <f>SUM(AY14:AY25)</f>
        <v>13087</v>
      </c>
      <c r="AZ27" s="510">
        <f t="shared" ref="AZ27:BA29" si="8">AV27+AX27</f>
        <v>514709.69</v>
      </c>
      <c r="BA27" s="511">
        <f t="shared" si="8"/>
        <v>485173.22</v>
      </c>
    </row>
    <row r="28" spans="1:53" x14ac:dyDescent="0.3">
      <c r="A28" s="481" t="s">
        <v>94</v>
      </c>
      <c r="B28" s="37">
        <v>9943</v>
      </c>
      <c r="C28" s="37">
        <v>10497</v>
      </c>
      <c r="D28" s="11">
        <v>-9066</v>
      </c>
      <c r="E28" s="11">
        <v>-8805</v>
      </c>
      <c r="F28" s="11">
        <v>212</v>
      </c>
      <c r="G28" s="555">
        <v>-2640</v>
      </c>
      <c r="H28" s="11">
        <v>28618</v>
      </c>
      <c r="I28" s="11">
        <v>35692</v>
      </c>
      <c r="J28" s="11">
        <v>-23506</v>
      </c>
      <c r="K28" s="11">
        <v>-18224</v>
      </c>
      <c r="L28" s="11">
        <v>-14428</v>
      </c>
      <c r="M28" s="11">
        <v>-5348</v>
      </c>
      <c r="N28" s="11">
        <v>-4082</v>
      </c>
      <c r="O28" s="11">
        <v>7379</v>
      </c>
      <c r="P28" s="11">
        <v>-16511</v>
      </c>
      <c r="Q28" s="11">
        <v>-15724</v>
      </c>
      <c r="R28" s="11">
        <v>-13368</v>
      </c>
      <c r="S28" s="11"/>
      <c r="T28" s="11">
        <v>-8262</v>
      </c>
      <c r="U28" s="11">
        <v>-17508</v>
      </c>
      <c r="V28" s="11">
        <v>85859</v>
      </c>
      <c r="W28" s="11">
        <v>99792</v>
      </c>
      <c r="X28" s="11">
        <v>57233</v>
      </c>
      <c r="Y28" s="11">
        <v>58310</v>
      </c>
      <c r="Z28" s="38">
        <v>3527</v>
      </c>
      <c r="AA28" s="38">
        <v>3429</v>
      </c>
      <c r="AB28" s="11">
        <v>-25753</v>
      </c>
      <c r="AC28" s="11">
        <v>-2536</v>
      </c>
      <c r="AD28" s="11">
        <v>8399</v>
      </c>
      <c r="AE28" s="11">
        <v>87657</v>
      </c>
      <c r="AF28" s="11">
        <v>26326</v>
      </c>
      <c r="AG28" s="11">
        <v>43764</v>
      </c>
      <c r="AH28" s="11">
        <v>-7559</v>
      </c>
      <c r="AI28" s="11">
        <v>10285</v>
      </c>
      <c r="AJ28" s="11">
        <v>-2397</v>
      </c>
      <c r="AK28" s="11">
        <v>5079</v>
      </c>
      <c r="AL28" s="561"/>
      <c r="AM28" s="555"/>
      <c r="AN28" s="751">
        <v>86670</v>
      </c>
      <c r="AO28" s="751">
        <v>96485</v>
      </c>
      <c r="AP28" s="11">
        <v>-4036</v>
      </c>
      <c r="AQ28" s="11">
        <v>3535</v>
      </c>
      <c r="AR28" s="157">
        <v>-12871</v>
      </c>
      <c r="AS28" s="157"/>
      <c r="AT28" s="11">
        <v>-17862</v>
      </c>
      <c r="AU28" s="11">
        <v>-4419</v>
      </c>
      <c r="AV28" s="8">
        <f t="shared" si="7"/>
        <v>147086</v>
      </c>
      <c r="AW28" s="8">
        <f t="shared" si="7"/>
        <v>386700</v>
      </c>
      <c r="AX28" s="157">
        <v>171322</v>
      </c>
      <c r="AY28" s="157">
        <v>2303492</v>
      </c>
      <c r="AZ28" s="8">
        <f t="shared" si="8"/>
        <v>318408</v>
      </c>
      <c r="BA28" s="749">
        <f t="shared" si="8"/>
        <v>2690192</v>
      </c>
    </row>
    <row r="29" spans="1:53" x14ac:dyDescent="0.3">
      <c r="A29" s="481" t="s">
        <v>95</v>
      </c>
      <c r="B29" s="37">
        <v>1382</v>
      </c>
      <c r="C29" s="37">
        <v>1531</v>
      </c>
      <c r="D29" s="11"/>
      <c r="E29" s="11"/>
      <c r="F29" s="11"/>
      <c r="G29" s="555"/>
      <c r="H29" s="11">
        <v>1004</v>
      </c>
      <c r="I29" s="11">
        <v>-754</v>
      </c>
      <c r="J29" s="11"/>
      <c r="K29" s="11"/>
      <c r="L29" s="11"/>
      <c r="M29" s="11">
        <v>1050</v>
      </c>
      <c r="N29" s="11"/>
      <c r="O29" s="11"/>
      <c r="P29" s="11"/>
      <c r="Q29" s="11"/>
      <c r="R29" s="11"/>
      <c r="S29" s="11"/>
      <c r="T29" s="11"/>
      <c r="U29" s="11"/>
      <c r="V29" s="11">
        <v>842</v>
      </c>
      <c r="W29" s="11">
        <v>101</v>
      </c>
      <c r="X29" s="11"/>
      <c r="Y29" s="11"/>
      <c r="Z29" s="38">
        <v>509</v>
      </c>
      <c r="AA29" s="38">
        <v>494</v>
      </c>
      <c r="AB29" s="11"/>
      <c r="AC29" s="11"/>
      <c r="AD29" s="11"/>
      <c r="AE29" s="11"/>
      <c r="AF29" s="11">
        <v>2262</v>
      </c>
      <c r="AG29" s="11">
        <v>6159</v>
      </c>
      <c r="AH29" s="11"/>
      <c r="AI29" s="11">
        <v>859</v>
      </c>
      <c r="AJ29" s="11"/>
      <c r="AK29" s="11"/>
      <c r="AL29" s="561"/>
      <c r="AM29" s="555"/>
      <c r="AN29" s="561"/>
      <c r="AO29" s="561"/>
      <c r="AP29" s="11">
        <v>818</v>
      </c>
      <c r="AQ29" s="11">
        <v>557</v>
      </c>
      <c r="AR29" s="157"/>
      <c r="AS29" s="157"/>
      <c r="AT29" s="11">
        <v>1534</v>
      </c>
      <c r="AU29" s="11">
        <v>1207</v>
      </c>
      <c r="AV29" s="8">
        <f t="shared" si="7"/>
        <v>8351</v>
      </c>
      <c r="AW29" s="8">
        <f t="shared" si="7"/>
        <v>11204</v>
      </c>
      <c r="AX29" s="157">
        <v>4165</v>
      </c>
      <c r="AY29" s="157">
        <v>6534</v>
      </c>
      <c r="AZ29" s="8">
        <f t="shared" si="8"/>
        <v>12516</v>
      </c>
      <c r="BA29" s="749">
        <f t="shared" si="8"/>
        <v>17738</v>
      </c>
    </row>
    <row r="30" spans="1:53" x14ac:dyDescent="0.3">
      <c r="A30" s="481" t="s">
        <v>207</v>
      </c>
      <c r="B30" s="37"/>
      <c r="C30" s="37"/>
      <c r="D30" s="11"/>
      <c r="E30" s="11"/>
      <c r="F30" s="11"/>
      <c r="G30" s="55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>
        <v>-429</v>
      </c>
      <c r="Z30" s="38"/>
      <c r="AA30" s="38"/>
      <c r="AB30" s="11"/>
      <c r="AC30" s="11"/>
      <c r="AD30" s="11">
        <v>2793</v>
      </c>
      <c r="AE30" s="11">
        <v>2859</v>
      </c>
      <c r="AF30" s="11"/>
      <c r="AG30" s="11"/>
      <c r="AH30" s="11"/>
      <c r="AI30" s="11"/>
      <c r="AJ30" s="11"/>
      <c r="AK30" s="11"/>
      <c r="AL30" s="561"/>
      <c r="AM30" s="555"/>
      <c r="AN30" s="561"/>
      <c r="AO30" s="561"/>
      <c r="AP30" s="11"/>
      <c r="AQ30" s="11"/>
      <c r="AR30" s="157"/>
      <c r="AS30" s="157"/>
      <c r="AT30" s="11"/>
      <c r="AU30" s="11"/>
      <c r="AV30" s="8"/>
      <c r="AW30" s="8"/>
      <c r="AX30" s="157"/>
      <c r="AY30" s="157"/>
      <c r="AZ30" s="8"/>
      <c r="BA30" s="749"/>
    </row>
    <row r="31" spans="1:53" x14ac:dyDescent="0.3">
      <c r="A31" s="481" t="s">
        <v>96</v>
      </c>
      <c r="B31" s="37"/>
      <c r="C31" s="37"/>
      <c r="D31" s="11"/>
      <c r="E31" s="11"/>
      <c r="F31" s="11"/>
      <c r="G31" s="555"/>
      <c r="H31" s="11"/>
      <c r="I31" s="11"/>
      <c r="J31" s="11"/>
      <c r="K31" s="11"/>
      <c r="L31" s="11"/>
      <c r="M31" s="11"/>
      <c r="N31" s="11">
        <v>530</v>
      </c>
      <c r="O31" s="11">
        <v>-959</v>
      </c>
      <c r="P31" s="11"/>
      <c r="Q31" s="11"/>
      <c r="R31" s="11"/>
      <c r="S31" s="11"/>
      <c r="T31" s="11"/>
      <c r="U31" s="11"/>
      <c r="V31" s="11"/>
      <c r="W31" s="11"/>
      <c r="X31" s="11"/>
      <c r="Y31" s="11">
        <v>-57</v>
      </c>
      <c r="Z31" s="38"/>
      <c r="AA31" s="38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561"/>
      <c r="AM31" s="555"/>
      <c r="AN31" s="561"/>
      <c r="AO31" s="561"/>
      <c r="AP31" s="11"/>
      <c r="AQ31" s="11"/>
      <c r="AR31" s="157"/>
      <c r="AS31" s="157"/>
      <c r="AT31" s="11"/>
      <c r="AU31" s="11"/>
      <c r="AV31" s="8">
        <f t="shared" ref="AV31:AW39" si="9">SUM(B31+D31+F31+H31+J31+L31+N31+P31+R31+T31+V31+X31+Z31+AB31+AD31+AF31+AH31+AJ31+AL31+AN31+AP31+AR31+AT31)</f>
        <v>530</v>
      </c>
      <c r="AW31" s="8">
        <f t="shared" si="9"/>
        <v>-1016</v>
      </c>
      <c r="AX31" s="157"/>
      <c r="AY31" s="157"/>
      <c r="AZ31" s="8">
        <f t="shared" ref="AZ31:BA39" si="10">AV31+AX31</f>
        <v>530</v>
      </c>
      <c r="BA31" s="749">
        <f t="shared" si="10"/>
        <v>-1016</v>
      </c>
    </row>
    <row r="32" spans="1:53" x14ac:dyDescent="0.3">
      <c r="A32" s="481" t="s">
        <v>97</v>
      </c>
      <c r="B32" s="11"/>
      <c r="C32" s="11"/>
      <c r="D32" s="11"/>
      <c r="E32" s="11"/>
      <c r="F32" s="11"/>
      <c r="G32" s="555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38"/>
      <c r="AA32" s="38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561"/>
      <c r="AM32" s="555"/>
      <c r="AN32" s="751">
        <v>3285</v>
      </c>
      <c r="AO32" s="751">
        <v>2114</v>
      </c>
      <c r="AP32" s="11"/>
      <c r="AQ32" s="11"/>
      <c r="AR32" s="157"/>
      <c r="AS32" s="157"/>
      <c r="AT32" s="11"/>
      <c r="AU32" s="11"/>
      <c r="AV32" s="8">
        <f t="shared" si="9"/>
        <v>3285</v>
      </c>
      <c r="AW32" s="8">
        <f t="shared" si="9"/>
        <v>2114</v>
      </c>
      <c r="AX32" s="157"/>
      <c r="AY32" s="157"/>
      <c r="AZ32" s="8">
        <f t="shared" si="10"/>
        <v>3285</v>
      </c>
      <c r="BA32" s="749">
        <f t="shared" si="10"/>
        <v>2114</v>
      </c>
    </row>
    <row r="33" spans="1:53" x14ac:dyDescent="0.3">
      <c r="A33" s="481" t="s">
        <v>98</v>
      </c>
      <c r="B33" s="37">
        <v>8559</v>
      </c>
      <c r="C33" s="37">
        <v>8966</v>
      </c>
      <c r="D33" s="11">
        <v>-9066</v>
      </c>
      <c r="E33" s="11">
        <v>-8805</v>
      </c>
      <c r="F33" s="11">
        <v>212</v>
      </c>
      <c r="G33" s="555">
        <v>-2640</v>
      </c>
      <c r="H33" s="11">
        <v>27614</v>
      </c>
      <c r="I33" s="11">
        <v>36446</v>
      </c>
      <c r="J33" s="11">
        <v>-23506</v>
      </c>
      <c r="K33" s="11">
        <v>-18224</v>
      </c>
      <c r="L33" s="11">
        <v>-14428</v>
      </c>
      <c r="M33" s="11">
        <v>-6398</v>
      </c>
      <c r="N33" s="11">
        <v>-3552</v>
      </c>
      <c r="O33" s="11">
        <v>6420</v>
      </c>
      <c r="P33" s="11">
        <v>-16511</v>
      </c>
      <c r="Q33" s="11">
        <v>-15724</v>
      </c>
      <c r="R33" s="11">
        <v>-13368</v>
      </c>
      <c r="S33" s="11"/>
      <c r="T33" s="11">
        <v>-8262</v>
      </c>
      <c r="U33" s="11">
        <v>-17508</v>
      </c>
      <c r="V33" s="11">
        <v>85017</v>
      </c>
      <c r="W33" s="11">
        <v>99691</v>
      </c>
      <c r="X33" s="11">
        <v>57233</v>
      </c>
      <c r="Y33" s="11">
        <v>57824</v>
      </c>
      <c r="Z33" s="38">
        <v>3018</v>
      </c>
      <c r="AA33" s="38">
        <v>2935</v>
      </c>
      <c r="AB33" s="11">
        <v>-25753</v>
      </c>
      <c r="AC33" s="11">
        <v>-2536</v>
      </c>
      <c r="AD33" s="11">
        <v>5606</v>
      </c>
      <c r="AE33" s="11">
        <v>84798</v>
      </c>
      <c r="AF33" s="11">
        <v>24065</v>
      </c>
      <c r="AG33" s="11">
        <v>37605</v>
      </c>
      <c r="AH33" s="11">
        <v>-7559</v>
      </c>
      <c r="AI33" s="11">
        <v>9426</v>
      </c>
      <c r="AJ33" s="11">
        <v>-2397</v>
      </c>
      <c r="AK33" s="11">
        <v>5079</v>
      </c>
      <c r="AL33" s="561"/>
      <c r="AM33" s="555"/>
      <c r="AN33" s="751">
        <v>83385</v>
      </c>
      <c r="AO33" s="751">
        <v>94372</v>
      </c>
      <c r="AP33" s="11">
        <v>-4854</v>
      </c>
      <c r="AQ33" s="11">
        <v>2978</v>
      </c>
      <c r="AR33" s="157">
        <v>-12871</v>
      </c>
      <c r="AS33" s="157"/>
      <c r="AT33" s="11">
        <v>-19395</v>
      </c>
      <c r="AU33" s="11">
        <v>-5625</v>
      </c>
      <c r="AV33" s="8">
        <f t="shared" si="9"/>
        <v>133187</v>
      </c>
      <c r="AW33" s="8">
        <f t="shared" si="9"/>
        <v>369080</v>
      </c>
      <c r="AX33" s="157">
        <v>167157</v>
      </c>
      <c r="AY33" s="157">
        <v>2296957</v>
      </c>
      <c r="AZ33" s="8">
        <f t="shared" si="10"/>
        <v>300344</v>
      </c>
      <c r="BA33" s="749">
        <f t="shared" si="10"/>
        <v>2666037</v>
      </c>
    </row>
    <row r="34" spans="1:53" x14ac:dyDescent="0.3">
      <c r="A34" s="482" t="s">
        <v>99</v>
      </c>
      <c r="B34" s="8"/>
      <c r="C34" s="8"/>
      <c r="D34" s="17"/>
      <c r="E34" s="17"/>
      <c r="F34" s="17"/>
      <c r="G34" s="555"/>
      <c r="H34" s="17"/>
      <c r="I34" s="17"/>
      <c r="J34" s="17"/>
      <c r="K34" s="17"/>
      <c r="L34" s="17"/>
      <c r="M34" s="17"/>
      <c r="N34" s="17"/>
      <c r="O34" s="17"/>
      <c r="P34" s="215"/>
      <c r="Q34" s="215"/>
      <c r="R34" s="17"/>
      <c r="S34" s="17"/>
      <c r="T34" s="17"/>
      <c r="U34" s="17"/>
      <c r="V34" s="17"/>
      <c r="W34" s="17"/>
      <c r="X34" s="17"/>
      <c r="Y34" s="17"/>
      <c r="Z34" s="38"/>
      <c r="AA34" s="38"/>
      <c r="AB34" s="17"/>
      <c r="AC34" s="17"/>
      <c r="AD34" s="564"/>
      <c r="AE34" s="564"/>
      <c r="AF34" s="17"/>
      <c r="AG34" s="17"/>
      <c r="AH34" s="17"/>
      <c r="AI34" s="17"/>
      <c r="AJ34" s="17"/>
      <c r="AK34" s="17"/>
      <c r="AL34" s="561"/>
      <c r="AM34" s="555"/>
      <c r="AN34" s="561"/>
      <c r="AO34" s="561"/>
      <c r="AP34" s="11"/>
      <c r="AQ34" s="11"/>
      <c r="AR34" s="157"/>
      <c r="AS34" s="157"/>
      <c r="AT34" s="17"/>
      <c r="AU34" s="17"/>
      <c r="AV34" s="8">
        <f t="shared" si="9"/>
        <v>0</v>
      </c>
      <c r="AW34" s="8">
        <f t="shared" si="9"/>
        <v>0</v>
      </c>
      <c r="AX34" s="17"/>
      <c r="AY34" s="17"/>
      <c r="AZ34" s="8">
        <f t="shared" si="10"/>
        <v>0</v>
      </c>
      <c r="BA34" s="749">
        <f t="shared" si="10"/>
        <v>0</v>
      </c>
    </row>
    <row r="35" spans="1:53" ht="28.5" x14ac:dyDescent="0.3">
      <c r="A35" s="481" t="s">
        <v>100</v>
      </c>
      <c r="B35" s="37">
        <v>8293</v>
      </c>
      <c r="C35" s="37">
        <v>17476</v>
      </c>
      <c r="D35" s="11">
        <v>-70411</v>
      </c>
      <c r="E35" s="11">
        <v>-79251</v>
      </c>
      <c r="F35" s="11">
        <v>-138941</v>
      </c>
      <c r="G35" s="555">
        <v>-147534</v>
      </c>
      <c r="H35" s="11">
        <v>907624</v>
      </c>
      <c r="I35" s="11">
        <v>926351</v>
      </c>
      <c r="J35" s="11">
        <v>-286150</v>
      </c>
      <c r="K35" s="11">
        <v>-320383</v>
      </c>
      <c r="L35" s="11">
        <v>20513</v>
      </c>
      <c r="M35" s="11">
        <v>21537</v>
      </c>
      <c r="N35" s="11">
        <v>-20451</v>
      </c>
      <c r="O35" s="11">
        <v>-20951</v>
      </c>
      <c r="P35" s="17">
        <v>-162899</v>
      </c>
      <c r="Q35" s="17">
        <v>-185192</v>
      </c>
      <c r="R35" s="11">
        <v>-64297</v>
      </c>
      <c r="S35" s="11"/>
      <c r="T35" s="11">
        <v>-197717</v>
      </c>
      <c r="U35" s="11">
        <v>-216111</v>
      </c>
      <c r="V35" s="11">
        <v>592940</v>
      </c>
      <c r="W35" s="11">
        <v>672861</v>
      </c>
      <c r="X35" s="11">
        <v>360062</v>
      </c>
      <c r="Y35" s="11">
        <v>407252</v>
      </c>
      <c r="Z35" s="157">
        <v>23861</v>
      </c>
      <c r="AA35" s="157">
        <v>22895</v>
      </c>
      <c r="AB35" s="11">
        <v>-16909</v>
      </c>
      <c r="AC35" s="11">
        <v>-45071</v>
      </c>
      <c r="AD35" s="11">
        <v>348314</v>
      </c>
      <c r="AE35" s="11">
        <v>382688</v>
      </c>
      <c r="AF35" s="11">
        <v>84173</v>
      </c>
      <c r="AG35" s="11">
        <v>104193</v>
      </c>
      <c r="AH35" s="11">
        <v>-60067</v>
      </c>
      <c r="AI35" s="11">
        <v>-67171</v>
      </c>
      <c r="AJ35" s="11">
        <v>-14707</v>
      </c>
      <c r="AK35" s="11">
        <v>-8185</v>
      </c>
      <c r="AL35" s="561"/>
      <c r="AM35" s="555"/>
      <c r="AN35" s="751">
        <v>908816</v>
      </c>
      <c r="AO35" s="751">
        <v>1039408</v>
      </c>
      <c r="AP35" s="11">
        <v>54668</v>
      </c>
      <c r="AQ35" s="11">
        <v>50492</v>
      </c>
      <c r="AR35" s="157">
        <v>19342</v>
      </c>
      <c r="AS35" s="157"/>
      <c r="AT35" s="11">
        <v>18127</v>
      </c>
      <c r="AU35" s="11">
        <v>20319</v>
      </c>
      <c r="AV35" s="8">
        <f t="shared" si="9"/>
        <v>2314184</v>
      </c>
      <c r="AW35" s="8">
        <f t="shared" si="9"/>
        <v>2575623</v>
      </c>
      <c r="AX35" s="11"/>
      <c r="AY35" s="11">
        <v>401433</v>
      </c>
      <c r="AZ35" s="8">
        <f t="shared" si="10"/>
        <v>2314184</v>
      </c>
      <c r="BA35" s="749">
        <f t="shared" si="10"/>
        <v>2977056</v>
      </c>
    </row>
    <row r="36" spans="1:53" ht="71.25" x14ac:dyDescent="0.3">
      <c r="A36" s="483" t="s">
        <v>393</v>
      </c>
      <c r="B36" s="37"/>
      <c r="C36" s="37"/>
      <c r="D36" s="11"/>
      <c r="E36" s="11"/>
      <c r="F36" s="11"/>
      <c r="G36" s="555"/>
      <c r="H36" s="11">
        <v>13715</v>
      </c>
      <c r="I36" s="11">
        <v>31498</v>
      </c>
      <c r="J36" s="11"/>
      <c r="K36" s="11"/>
      <c r="L36" s="11"/>
      <c r="M36" s="11">
        <v>2850</v>
      </c>
      <c r="N36" s="11"/>
      <c r="O36" s="11"/>
      <c r="P36" s="11"/>
      <c r="Q36" s="11"/>
      <c r="R36" s="11"/>
      <c r="S36" s="11"/>
      <c r="T36" s="11"/>
      <c r="U36" s="11"/>
      <c r="V36" s="11"/>
      <c r="W36" s="11">
        <v>-62861</v>
      </c>
      <c r="X36" s="11"/>
      <c r="Y36" s="11"/>
      <c r="Z36" s="157"/>
      <c r="AA36" s="157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561"/>
      <c r="AM36" s="555"/>
      <c r="AN36" s="752"/>
      <c r="AO36" s="752"/>
      <c r="AP36" s="11">
        <v>4430</v>
      </c>
      <c r="AQ36" s="11"/>
      <c r="AR36" s="157"/>
      <c r="AS36" s="157"/>
      <c r="AT36" s="11"/>
      <c r="AU36" s="11"/>
      <c r="AV36" s="8">
        <f t="shared" si="9"/>
        <v>18145</v>
      </c>
      <c r="AW36" s="8">
        <f t="shared" si="9"/>
        <v>-28513</v>
      </c>
      <c r="AX36" s="11"/>
      <c r="AY36" s="11"/>
      <c r="AZ36" s="8">
        <f t="shared" si="10"/>
        <v>18145</v>
      </c>
      <c r="BA36" s="749">
        <f t="shared" si="10"/>
        <v>-28513</v>
      </c>
    </row>
    <row r="37" spans="1:53" ht="28.5" x14ac:dyDescent="0.3">
      <c r="A37" s="483" t="s">
        <v>101</v>
      </c>
      <c r="B37" s="37"/>
      <c r="C37" s="37"/>
      <c r="D37" s="11"/>
      <c r="E37" s="11"/>
      <c r="F37" s="11"/>
      <c r="G37" s="555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>
        <v>-40848</v>
      </c>
      <c r="W37" s="11">
        <v>-35922</v>
      </c>
      <c r="X37" s="11">
        <v>28731</v>
      </c>
      <c r="Y37" s="11">
        <v>7906</v>
      </c>
      <c r="Z37" s="157">
        <v>-10400</v>
      </c>
      <c r="AA37" s="157">
        <v>-2800</v>
      </c>
      <c r="AB37" s="11"/>
      <c r="AC37" s="11"/>
      <c r="AD37" s="11">
        <v>8165</v>
      </c>
      <c r="AE37" s="11">
        <v>11482</v>
      </c>
      <c r="AF37" s="11">
        <v>17653</v>
      </c>
      <c r="AG37" s="11"/>
      <c r="AH37" s="11"/>
      <c r="AI37" s="11"/>
      <c r="AJ37" s="11"/>
      <c r="AK37" s="11"/>
      <c r="AL37" s="561"/>
      <c r="AM37" s="555"/>
      <c r="AN37" s="752"/>
      <c r="AO37" s="752"/>
      <c r="AP37" s="11"/>
      <c r="AQ37" s="11"/>
      <c r="AR37" s="157">
        <v>984</v>
      </c>
      <c r="AS37" s="157"/>
      <c r="AT37" s="11"/>
      <c r="AU37" s="11"/>
      <c r="AV37" s="8">
        <f t="shared" si="9"/>
        <v>4285</v>
      </c>
      <c r="AW37" s="8">
        <f t="shared" si="9"/>
        <v>-19334</v>
      </c>
      <c r="AX37" s="11"/>
      <c r="AY37" s="11">
        <v>94875</v>
      </c>
      <c r="AZ37" s="8">
        <f t="shared" si="10"/>
        <v>4285</v>
      </c>
      <c r="BA37" s="749">
        <f t="shared" si="10"/>
        <v>75541</v>
      </c>
    </row>
    <row r="38" spans="1:53" x14ac:dyDescent="0.3">
      <c r="A38" s="481" t="s">
        <v>102</v>
      </c>
      <c r="B38" s="37"/>
      <c r="C38" s="37"/>
      <c r="D38" s="11"/>
      <c r="E38" s="11"/>
      <c r="F38" s="11"/>
      <c r="G38" s="555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57"/>
      <c r="AA38" s="157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561"/>
      <c r="AM38" s="555"/>
      <c r="AN38" s="752"/>
      <c r="AO38" s="752"/>
      <c r="AP38" s="11"/>
      <c r="AQ38" s="11"/>
      <c r="AR38" s="157"/>
      <c r="AS38" s="157"/>
      <c r="AT38" s="11"/>
      <c r="AU38" s="11"/>
      <c r="AV38" s="8">
        <f t="shared" si="9"/>
        <v>0</v>
      </c>
      <c r="AW38" s="8">
        <f t="shared" si="9"/>
        <v>0</v>
      </c>
      <c r="AX38" s="11"/>
      <c r="AY38" s="11"/>
      <c r="AZ38" s="8">
        <f t="shared" si="10"/>
        <v>0</v>
      </c>
      <c r="BA38" s="749">
        <f t="shared" si="10"/>
        <v>0</v>
      </c>
    </row>
    <row r="39" spans="1:53" ht="28.5" x14ac:dyDescent="0.3">
      <c r="A39" s="481" t="s">
        <v>103</v>
      </c>
      <c r="B39" s="8">
        <v>3500</v>
      </c>
      <c r="C39" s="8"/>
      <c r="D39" s="17"/>
      <c r="E39" s="17"/>
      <c r="F39" s="17"/>
      <c r="G39" s="555"/>
      <c r="H39" s="17"/>
      <c r="I39" s="17"/>
      <c r="J39" s="17">
        <v>13</v>
      </c>
      <c r="K39" s="17">
        <v>7</v>
      </c>
      <c r="L39" s="17"/>
      <c r="M39" s="17"/>
      <c r="N39" s="17"/>
      <c r="O39" s="17"/>
      <c r="P39" s="17">
        <v>209</v>
      </c>
      <c r="Q39" s="17">
        <v>95</v>
      </c>
      <c r="R39" s="17"/>
      <c r="S39" s="17"/>
      <c r="T39" s="17"/>
      <c r="U39" s="17"/>
      <c r="V39" s="17"/>
      <c r="W39" s="17"/>
      <c r="X39" s="17"/>
      <c r="Y39" s="17"/>
      <c r="Z39" s="38"/>
      <c r="AA39" s="38"/>
      <c r="AB39" s="17"/>
      <c r="AC39" s="17"/>
      <c r="AD39" s="564"/>
      <c r="AE39" s="564"/>
      <c r="AF39" s="17">
        <v>992</v>
      </c>
      <c r="AG39" s="17">
        <v>992</v>
      </c>
      <c r="AH39" s="17"/>
      <c r="AI39" s="17"/>
      <c r="AJ39" s="17"/>
      <c r="AK39" s="17"/>
      <c r="AL39" s="561"/>
      <c r="AM39" s="555"/>
      <c r="AN39" s="752"/>
      <c r="AO39" s="752"/>
      <c r="AP39" s="11"/>
      <c r="AQ39" s="11"/>
      <c r="AR39" s="157">
        <v>1250</v>
      </c>
      <c r="AS39" s="157"/>
      <c r="AT39" s="17"/>
      <c r="AU39" s="17"/>
      <c r="AV39" s="8">
        <f t="shared" si="9"/>
        <v>5964</v>
      </c>
      <c r="AW39" s="8">
        <f t="shared" si="9"/>
        <v>1094</v>
      </c>
      <c r="AX39" s="17">
        <v>2879</v>
      </c>
      <c r="AY39" s="17"/>
      <c r="AZ39" s="8">
        <f t="shared" si="10"/>
        <v>8843</v>
      </c>
      <c r="BA39" s="749">
        <f t="shared" si="10"/>
        <v>1094</v>
      </c>
    </row>
    <row r="40" spans="1:53" ht="28.5" x14ac:dyDescent="0.3">
      <c r="A40" s="484" t="s">
        <v>201</v>
      </c>
      <c r="B40" s="8"/>
      <c r="C40" s="8"/>
      <c r="D40" s="413"/>
      <c r="E40" s="413"/>
      <c r="F40" s="413"/>
      <c r="G40" s="555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568"/>
      <c r="AA40" s="568"/>
      <c r="AB40" s="413"/>
      <c r="AC40" s="413"/>
      <c r="AD40" s="565"/>
      <c r="AE40" s="565"/>
      <c r="AF40" s="413"/>
      <c r="AG40" s="413"/>
      <c r="AH40" s="413"/>
      <c r="AI40" s="413"/>
      <c r="AJ40" s="413"/>
      <c r="AK40" s="413"/>
      <c r="AL40" s="562"/>
      <c r="AM40" s="555"/>
      <c r="AN40" s="754"/>
      <c r="AO40" s="754"/>
      <c r="AP40" s="755"/>
      <c r="AQ40" s="755"/>
      <c r="AR40" s="395"/>
      <c r="AS40" s="395"/>
      <c r="AT40" s="413"/>
      <c r="AU40" s="413"/>
      <c r="AV40" s="408"/>
      <c r="AW40" s="408"/>
      <c r="AX40" s="413"/>
      <c r="AY40" s="413"/>
      <c r="AZ40" s="408"/>
      <c r="BA40" s="409"/>
    </row>
    <row r="41" spans="1:53" s="508" customFormat="1" ht="27.75" thickBot="1" x14ac:dyDescent="0.3">
      <c r="A41" s="506" t="s">
        <v>104</v>
      </c>
      <c r="B41" s="756">
        <f>B33+B35-B39</f>
        <v>13352</v>
      </c>
      <c r="C41" s="756">
        <f>C33+C35</f>
        <v>26442</v>
      </c>
      <c r="D41" s="507">
        <f>D33+D35</f>
        <v>-79477</v>
      </c>
      <c r="E41" s="507">
        <f>E33+E35</f>
        <v>-88056</v>
      </c>
      <c r="F41" s="507">
        <f>F33+F35</f>
        <v>-138729</v>
      </c>
      <c r="G41" s="507">
        <f>G33+G35</f>
        <v>-150174</v>
      </c>
      <c r="H41" s="757">
        <v>921523</v>
      </c>
      <c r="I41" s="757">
        <v>931299</v>
      </c>
      <c r="J41" s="507">
        <f>J33+J35+J39</f>
        <v>-309643</v>
      </c>
      <c r="K41" s="507">
        <f>K33+K35+K39</f>
        <v>-338600</v>
      </c>
      <c r="L41" s="507">
        <f t="shared" ref="L41:T41" si="11">L33+L35</f>
        <v>6085</v>
      </c>
      <c r="M41" s="507">
        <v>12289</v>
      </c>
      <c r="N41" s="507">
        <f t="shared" si="11"/>
        <v>-24003</v>
      </c>
      <c r="O41" s="507">
        <f>O33+O35</f>
        <v>-14531</v>
      </c>
      <c r="P41" s="507">
        <v>-179202</v>
      </c>
      <c r="Q41" s="507">
        <v>-200822</v>
      </c>
      <c r="R41" s="507">
        <f t="shared" si="11"/>
        <v>-77665</v>
      </c>
      <c r="S41" s="507">
        <f>S33+S35</f>
        <v>0</v>
      </c>
      <c r="T41" s="507">
        <f t="shared" si="11"/>
        <v>-205979</v>
      </c>
      <c r="U41" s="507">
        <f>U33+U35</f>
        <v>-233619</v>
      </c>
      <c r="V41" s="757">
        <f>V33+V35+V37</f>
        <v>637109</v>
      </c>
      <c r="W41" s="757">
        <v>673950</v>
      </c>
      <c r="X41" s="757">
        <v>388564</v>
      </c>
      <c r="Y41" s="757">
        <v>457170</v>
      </c>
      <c r="Z41" s="757">
        <v>16479</v>
      </c>
      <c r="AA41" s="757">
        <f>AA33+AA35+AA37</f>
        <v>23030</v>
      </c>
      <c r="AB41" s="758">
        <v>-42663</v>
      </c>
      <c r="AC41" s="758">
        <v>-47608</v>
      </c>
      <c r="AD41" s="757">
        <v>345755</v>
      </c>
      <c r="AE41" s="757">
        <v>456004</v>
      </c>
      <c r="AF41" s="757">
        <v>89592</v>
      </c>
      <c r="AG41" s="757">
        <v>140806</v>
      </c>
      <c r="AH41" s="757">
        <v>-67626</v>
      </c>
      <c r="AI41" s="757">
        <v>-57745</v>
      </c>
      <c r="AJ41" s="757">
        <f t="shared" ref="AJ41:AO41" si="12">AJ33+AJ35</f>
        <v>-17104</v>
      </c>
      <c r="AK41" s="757">
        <f t="shared" si="12"/>
        <v>-3106</v>
      </c>
      <c r="AL41" s="507">
        <f t="shared" si="12"/>
        <v>0</v>
      </c>
      <c r="AM41" s="759">
        <f t="shared" si="12"/>
        <v>0</v>
      </c>
      <c r="AN41" s="757">
        <f t="shared" si="12"/>
        <v>992201</v>
      </c>
      <c r="AO41" s="757">
        <f t="shared" si="12"/>
        <v>1133780</v>
      </c>
      <c r="AP41" s="760">
        <v>45382</v>
      </c>
      <c r="AQ41" s="760">
        <v>53470</v>
      </c>
      <c r="AR41" s="757">
        <v>4237</v>
      </c>
      <c r="AS41" s="757"/>
      <c r="AT41" s="507">
        <v>-1268</v>
      </c>
      <c r="AU41" s="507">
        <v>14694</v>
      </c>
      <c r="AV41" s="507">
        <f>SUM(B41+D41+F41+H41+J41+L41+N41+P41+R41+T41+V41+X41+Z41+AB41+AD41+AF41+AH41+AJ41+AL41+AN41+AP41+AR41+AT41)</f>
        <v>2316920</v>
      </c>
      <c r="AW41" s="507">
        <f>SUM(C41+E41+G41+I41+K41+M41+O41+Q41+S41+U41+W41+Y41+AA41+AC41+AE41+AG41+AI41+AK41+AM41+AO41+AQ41+AS41+AU41)</f>
        <v>2788673</v>
      </c>
      <c r="AX41" s="507">
        <v>164278</v>
      </c>
      <c r="AY41" s="507">
        <v>2603516</v>
      </c>
      <c r="AZ41" s="507">
        <f>AZ33+AZ35</f>
        <v>2614528</v>
      </c>
      <c r="BA41" s="761">
        <f>BA33+BA35</f>
        <v>5643093</v>
      </c>
    </row>
    <row r="42" spans="1:53" s="36" customFormat="1" ht="28.5" x14ac:dyDescent="0.3">
      <c r="A42" s="217" t="s">
        <v>105</v>
      </c>
      <c r="B42" s="485"/>
      <c r="C42" s="485"/>
      <c r="D42" s="218"/>
      <c r="E42" s="218"/>
      <c r="F42" s="218"/>
      <c r="G42" s="567"/>
      <c r="H42" s="218"/>
      <c r="I42" s="218"/>
      <c r="J42" s="218"/>
      <c r="K42" s="218"/>
      <c r="L42" s="218"/>
      <c r="M42" s="218"/>
      <c r="N42" s="218"/>
      <c r="O42" s="218"/>
      <c r="P42" s="572"/>
      <c r="Q42" s="572"/>
      <c r="R42" s="218"/>
      <c r="S42" s="218"/>
      <c r="T42" s="218"/>
      <c r="U42" s="218"/>
      <c r="V42" s="218"/>
      <c r="W42" s="218"/>
      <c r="X42" s="218"/>
      <c r="Y42" s="218"/>
      <c r="Z42" s="569"/>
      <c r="AA42" s="569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24"/>
      <c r="AM42" s="556"/>
      <c r="AN42" s="762"/>
      <c r="AO42" s="762"/>
      <c r="AP42" s="218"/>
      <c r="AQ42" s="218"/>
      <c r="AR42" s="557"/>
      <c r="AS42" s="557"/>
      <c r="AT42" s="218"/>
      <c r="AU42" s="218"/>
      <c r="AV42" s="203"/>
      <c r="AW42" s="204"/>
      <c r="AX42" s="218"/>
      <c r="AY42" s="218"/>
      <c r="AZ42" s="203"/>
      <c r="BA42" s="205"/>
    </row>
    <row r="43" spans="1:53" x14ac:dyDescent="0.3">
      <c r="A43" s="201" t="s">
        <v>324</v>
      </c>
      <c r="B43" s="37"/>
      <c r="C43" s="37"/>
      <c r="D43" s="11"/>
      <c r="E43" s="11"/>
      <c r="F43" s="11"/>
      <c r="G43" s="555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38"/>
      <c r="AA43" s="38"/>
      <c r="AB43" s="11"/>
      <c r="AC43" s="11"/>
      <c r="AD43" s="11">
        <v>10</v>
      </c>
      <c r="AE43" s="11">
        <v>10</v>
      </c>
      <c r="AF43" s="11"/>
      <c r="AG43" s="11"/>
      <c r="AH43" s="11"/>
      <c r="AI43" s="11"/>
      <c r="AJ43" s="11"/>
      <c r="AK43" s="11"/>
      <c r="AL43" s="561"/>
      <c r="AM43" s="555"/>
      <c r="AN43" s="561"/>
      <c r="AO43" s="561"/>
      <c r="AP43" s="11"/>
      <c r="AQ43" s="11"/>
      <c r="AR43" s="215"/>
      <c r="AS43" s="215">
        <v>10</v>
      </c>
      <c r="AT43" s="11"/>
      <c r="AU43" s="11"/>
      <c r="AV43" s="17"/>
      <c r="AW43" s="16"/>
      <c r="AX43" s="11"/>
      <c r="AY43" s="11"/>
      <c r="AZ43" s="17"/>
      <c r="BA43" s="14"/>
    </row>
    <row r="44" spans="1:53" x14ac:dyDescent="0.3">
      <c r="A44" s="201" t="s">
        <v>106</v>
      </c>
      <c r="B44" s="216">
        <v>0.45</v>
      </c>
      <c r="C44" s="216"/>
      <c r="D44" s="11"/>
      <c r="E44" s="11"/>
      <c r="F44" s="1">
        <v>0.01</v>
      </c>
      <c r="G44" s="158">
        <v>-0.13</v>
      </c>
      <c r="H44" s="11"/>
      <c r="I44" s="11"/>
      <c r="J44" s="1">
        <v>-0.73</v>
      </c>
      <c r="K44" s="1">
        <v>-0.51</v>
      </c>
      <c r="L44" s="11"/>
      <c r="M44" s="11"/>
      <c r="N44" s="1"/>
      <c r="O44" s="1"/>
      <c r="P44" s="1"/>
      <c r="Q44" s="1"/>
      <c r="R44" s="11"/>
      <c r="S44" s="11"/>
      <c r="T44" s="11"/>
      <c r="U44" s="11"/>
      <c r="V44" s="11"/>
      <c r="W44" s="11"/>
      <c r="X44" s="1"/>
      <c r="Y44" s="1"/>
      <c r="Z44" s="159">
        <v>0.38</v>
      </c>
      <c r="AA44" s="159">
        <v>0.37</v>
      </c>
      <c r="AB44" s="1">
        <v>-3.68</v>
      </c>
      <c r="AC44" s="1">
        <v>-0.35</v>
      </c>
      <c r="AD44" s="1">
        <v>1.1000000000000001</v>
      </c>
      <c r="AE44" s="1">
        <v>16.62</v>
      </c>
      <c r="AF44" s="11"/>
      <c r="AG44" s="11"/>
      <c r="AH44" s="11"/>
      <c r="AI44" s="11"/>
      <c r="AJ44" s="11"/>
      <c r="AK44" s="11"/>
      <c r="AL44" s="561"/>
      <c r="AM44" s="555"/>
      <c r="AN44" s="763">
        <v>8.34</v>
      </c>
      <c r="AO44" s="763">
        <v>9.43</v>
      </c>
      <c r="AP44" s="11"/>
      <c r="AQ44" s="11"/>
      <c r="AR44" s="206"/>
      <c r="AS44" s="206">
        <v>-0.78</v>
      </c>
      <c r="AT44" s="11"/>
      <c r="AU44" s="11"/>
      <c r="AV44" s="17"/>
      <c r="AW44" s="16"/>
      <c r="AX44" s="11"/>
      <c r="AY44" s="11"/>
      <c r="AZ44" s="17"/>
      <c r="BA44" s="14"/>
    </row>
    <row r="45" spans="1:53" ht="15" thickBot="1" x14ac:dyDescent="0.35">
      <c r="A45" s="202" t="s">
        <v>107</v>
      </c>
      <c r="B45" s="662">
        <v>0.45</v>
      </c>
      <c r="C45" s="662"/>
      <c r="D45" s="40"/>
      <c r="E45" s="40"/>
      <c r="F45" s="571">
        <v>0.01</v>
      </c>
      <c r="G45" s="570">
        <v>-0.13</v>
      </c>
      <c r="H45" s="40"/>
      <c r="I45" s="40"/>
      <c r="J45" s="571">
        <v>-0.73</v>
      </c>
      <c r="K45" s="571">
        <v>-0.51</v>
      </c>
      <c r="L45" s="40"/>
      <c r="M45" s="40"/>
      <c r="N45" s="571"/>
      <c r="O45" s="571"/>
      <c r="P45" s="571"/>
      <c r="Q45" s="571"/>
      <c r="R45" s="40"/>
      <c r="S45" s="40"/>
      <c r="T45" s="40"/>
      <c r="U45" s="40"/>
      <c r="V45" s="1"/>
      <c r="W45" s="1"/>
      <c r="X45" s="571"/>
      <c r="Y45" s="571"/>
      <c r="Z45" s="766">
        <v>0.38</v>
      </c>
      <c r="AA45" s="766">
        <v>0.37</v>
      </c>
      <c r="AB45" s="571">
        <v>-3.68</v>
      </c>
      <c r="AC45" s="571">
        <v>-0.35</v>
      </c>
      <c r="AD45" s="767">
        <v>1.1000000000000001</v>
      </c>
      <c r="AE45" s="767">
        <v>16.62</v>
      </c>
      <c r="AF45" s="40"/>
      <c r="AG45" s="40"/>
      <c r="AH45" s="40"/>
      <c r="AI45" s="40"/>
      <c r="AJ45" s="40"/>
      <c r="AK45" s="40"/>
      <c r="AL45" s="563"/>
      <c r="AM45" s="560"/>
      <c r="AN45" s="764">
        <v>8.33</v>
      </c>
      <c r="AO45" s="764">
        <v>9.42</v>
      </c>
      <c r="AP45" s="765"/>
      <c r="AQ45" s="765"/>
      <c r="AR45" s="207"/>
      <c r="AS45" s="207">
        <v>-0.78</v>
      </c>
      <c r="AT45" s="40"/>
      <c r="AU45" s="40"/>
      <c r="AV45" s="40"/>
      <c r="AW45" s="39"/>
      <c r="AX45" s="40"/>
      <c r="AY45" s="40"/>
      <c r="AZ45" s="40"/>
      <c r="BA45" s="161"/>
    </row>
  </sheetData>
  <mergeCells count="29">
    <mergeCell ref="AT3:AU3"/>
    <mergeCell ref="AV3:AW3"/>
    <mergeCell ref="V3:W3"/>
    <mergeCell ref="Z3:AA3"/>
    <mergeCell ref="A1:AZ1"/>
    <mergeCell ref="A2:AZ2"/>
    <mergeCell ref="A3:A4"/>
    <mergeCell ref="B3:C3"/>
    <mergeCell ref="D3:E3"/>
    <mergeCell ref="F3:G3"/>
    <mergeCell ref="J3:K3"/>
    <mergeCell ref="AX3:AY3"/>
    <mergeCell ref="L3:M3"/>
    <mergeCell ref="AL3:AM3"/>
    <mergeCell ref="N3:O3"/>
    <mergeCell ref="AZ3:BA3"/>
    <mergeCell ref="H3:I3"/>
    <mergeCell ref="AN3:AO3"/>
    <mergeCell ref="AP3:AQ3"/>
    <mergeCell ref="AR3:AS3"/>
    <mergeCell ref="AJ3:AK3"/>
    <mergeCell ref="T3:U3"/>
    <mergeCell ref="X3:Y3"/>
    <mergeCell ref="P3:Q3"/>
    <mergeCell ref="R3:S3"/>
    <mergeCell ref="AB3:AC3"/>
    <mergeCell ref="AD3:AE3"/>
    <mergeCell ref="AF3:AG3"/>
    <mergeCell ref="AH3:A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BA67"/>
  <sheetViews>
    <sheetView workbookViewId="0">
      <pane xSplit="1" topLeftCell="B1" activePane="topRight" state="frozen"/>
      <selection pane="topRight" sqref="A1:XFD1048576"/>
    </sheetView>
  </sheetViews>
  <sheetFormatPr defaultRowHeight="14.25" x14ac:dyDescent="0.3"/>
  <cols>
    <col min="1" max="1" width="64" style="284" bestFit="1" customWidth="1"/>
    <col min="2" max="3" width="11.28515625" style="284" bestFit="1" customWidth="1"/>
    <col min="4" max="4" width="10.28515625" style="284" bestFit="1" customWidth="1"/>
    <col min="5" max="5" width="11.28515625" style="284" customWidth="1"/>
    <col min="6" max="8" width="10.28515625" style="284" bestFit="1" customWidth="1"/>
    <col min="9" max="9" width="11.28515625" style="284" customWidth="1"/>
    <col min="10" max="10" width="10.28515625" style="284" bestFit="1" customWidth="1"/>
    <col min="11" max="11" width="11.28515625" style="284" bestFit="1" customWidth="1"/>
    <col min="12" max="12" width="11.28515625" style="284" customWidth="1"/>
    <col min="13" max="14" width="11.28515625" style="284" bestFit="1" customWidth="1"/>
    <col min="15" max="15" width="10.28515625" style="284" bestFit="1" customWidth="1"/>
    <col min="16" max="16" width="11.28515625" style="284" customWidth="1"/>
    <col min="17" max="17" width="11.28515625" style="284" bestFit="1" customWidth="1"/>
    <col min="18" max="19" width="11.28515625" style="284" customWidth="1"/>
    <col min="20" max="20" width="11.28515625" style="284" bestFit="1" customWidth="1"/>
    <col min="21" max="21" width="10.28515625" style="284" bestFit="1" customWidth="1"/>
    <col min="22" max="24" width="11.28515625" style="284" customWidth="1"/>
    <col min="25" max="25" width="11.28515625" style="284" bestFit="1" customWidth="1"/>
    <col min="26" max="26" width="10.28515625" style="284" bestFit="1" customWidth="1"/>
    <col min="27" max="27" width="12.7109375" style="284" customWidth="1"/>
    <col min="28" max="28" width="10.28515625" style="284" bestFit="1" customWidth="1"/>
    <col min="29" max="29" width="11.28515625" style="284" bestFit="1" customWidth="1"/>
    <col min="30" max="30" width="9" style="284" bestFit="1" customWidth="1"/>
    <col min="31" max="33" width="10.28515625" style="284" bestFit="1" customWidth="1"/>
    <col min="34" max="35" width="11.28515625" style="284" bestFit="1" customWidth="1"/>
    <col min="36" max="36" width="9" style="284" bestFit="1" customWidth="1"/>
    <col min="37" max="37" width="10.28515625" style="284" bestFit="1" customWidth="1"/>
    <col min="38" max="38" width="11.28515625" style="284" bestFit="1" customWidth="1"/>
    <col min="39" max="40" width="10.28515625" style="284" bestFit="1" customWidth="1"/>
    <col min="41" max="41" width="11.28515625" style="284" bestFit="1" customWidth="1"/>
    <col min="42" max="43" width="10.28515625" style="284" bestFit="1" customWidth="1"/>
    <col min="44" max="44" width="11.28515625" style="284" bestFit="1" customWidth="1"/>
    <col min="45" max="45" width="10.28515625" style="284" bestFit="1" customWidth="1"/>
    <col min="46" max="46" width="9" style="284" customWidth="1"/>
    <col min="47" max="47" width="11.28515625" style="284" bestFit="1" customWidth="1"/>
    <col min="48" max="48" width="10.28515625" style="284" bestFit="1" customWidth="1"/>
    <col min="49" max="49" width="12.7109375" style="284" customWidth="1"/>
    <col min="50" max="50" width="12.7109375" style="284" bestFit="1" customWidth="1"/>
    <col min="51" max="51" width="11.28515625" style="284" bestFit="1" customWidth="1"/>
    <col min="52" max="52" width="11.28515625" style="284" customWidth="1"/>
    <col min="53" max="53" width="11.28515625" style="284" bestFit="1" customWidth="1"/>
    <col min="54" max="16384" width="9.140625" style="284"/>
  </cols>
  <sheetData>
    <row r="1" spans="1:53" ht="65.25" customHeight="1" thickBot="1" x14ac:dyDescent="0.35">
      <c r="A1" s="57" t="s">
        <v>385</v>
      </c>
      <c r="B1" s="941" t="s">
        <v>113</v>
      </c>
      <c r="C1" s="942"/>
      <c r="D1" s="936" t="s">
        <v>260</v>
      </c>
      <c r="E1" s="937"/>
      <c r="F1" s="940" t="s">
        <v>115</v>
      </c>
      <c r="G1" s="937"/>
      <c r="H1" s="940" t="s">
        <v>116</v>
      </c>
      <c r="I1" s="937"/>
      <c r="J1" s="940" t="s">
        <v>261</v>
      </c>
      <c r="K1" s="940"/>
      <c r="L1" s="936" t="s">
        <v>118</v>
      </c>
      <c r="M1" s="937"/>
      <c r="N1" s="936" t="s">
        <v>218</v>
      </c>
      <c r="O1" s="937"/>
      <c r="P1" s="940" t="s">
        <v>135</v>
      </c>
      <c r="Q1" s="940"/>
      <c r="R1" s="936" t="s">
        <v>262</v>
      </c>
      <c r="S1" s="937"/>
      <c r="T1" s="936" t="s">
        <v>263</v>
      </c>
      <c r="U1" s="937"/>
      <c r="V1" s="940" t="s">
        <v>264</v>
      </c>
      <c r="W1" s="937"/>
      <c r="X1" s="940" t="s">
        <v>265</v>
      </c>
      <c r="Y1" s="937"/>
      <c r="Z1" s="940" t="s">
        <v>323</v>
      </c>
      <c r="AA1" s="940"/>
      <c r="AB1" s="936" t="s">
        <v>124</v>
      </c>
      <c r="AC1" s="937"/>
      <c r="AD1" s="936" t="s">
        <v>125</v>
      </c>
      <c r="AE1" s="937"/>
      <c r="AF1" s="936" t="s">
        <v>126</v>
      </c>
      <c r="AG1" s="937"/>
      <c r="AH1" s="936" t="s">
        <v>206</v>
      </c>
      <c r="AI1" s="937"/>
      <c r="AJ1" s="936" t="s">
        <v>128</v>
      </c>
      <c r="AK1" s="937"/>
      <c r="AL1" s="940" t="s">
        <v>129</v>
      </c>
      <c r="AM1" s="940"/>
      <c r="AN1" s="936" t="s">
        <v>130</v>
      </c>
      <c r="AO1" s="937"/>
      <c r="AP1" s="936" t="s">
        <v>131</v>
      </c>
      <c r="AQ1" s="937"/>
      <c r="AR1" s="940" t="s">
        <v>266</v>
      </c>
      <c r="AS1" s="940"/>
      <c r="AT1" s="936" t="s">
        <v>133</v>
      </c>
      <c r="AU1" s="937"/>
      <c r="AV1" s="938" t="s">
        <v>1</v>
      </c>
      <c r="AW1" s="939"/>
      <c r="AX1" s="936" t="s">
        <v>134</v>
      </c>
      <c r="AY1" s="937"/>
      <c r="AZ1" s="938" t="s">
        <v>2</v>
      </c>
      <c r="BA1" s="939"/>
    </row>
    <row r="2" spans="1:53" s="595" customFormat="1" ht="69" customHeight="1" thickBot="1" x14ac:dyDescent="0.35">
      <c r="A2" s="726" t="s">
        <v>0</v>
      </c>
      <c r="B2" s="727" t="s">
        <v>335</v>
      </c>
      <c r="C2" s="728" t="s">
        <v>389</v>
      </c>
      <c r="D2" s="727" t="s">
        <v>335</v>
      </c>
      <c r="E2" s="728" t="s">
        <v>389</v>
      </c>
      <c r="F2" s="727" t="s">
        <v>335</v>
      </c>
      <c r="G2" s="728" t="s">
        <v>389</v>
      </c>
      <c r="H2" s="727" t="s">
        <v>335</v>
      </c>
      <c r="I2" s="728" t="s">
        <v>389</v>
      </c>
      <c r="J2" s="727" t="s">
        <v>335</v>
      </c>
      <c r="K2" s="728" t="s">
        <v>389</v>
      </c>
      <c r="L2" s="727" t="s">
        <v>335</v>
      </c>
      <c r="M2" s="728" t="s">
        <v>389</v>
      </c>
      <c r="N2" s="727" t="s">
        <v>335</v>
      </c>
      <c r="O2" s="728" t="s">
        <v>389</v>
      </c>
      <c r="P2" s="727" t="s">
        <v>335</v>
      </c>
      <c r="Q2" s="728" t="s">
        <v>389</v>
      </c>
      <c r="R2" s="727" t="s">
        <v>335</v>
      </c>
      <c r="S2" s="728" t="s">
        <v>389</v>
      </c>
      <c r="T2" s="727" t="s">
        <v>335</v>
      </c>
      <c r="U2" s="728" t="s">
        <v>389</v>
      </c>
      <c r="V2" s="727" t="s">
        <v>335</v>
      </c>
      <c r="W2" s="728" t="s">
        <v>389</v>
      </c>
      <c r="X2" s="727" t="s">
        <v>335</v>
      </c>
      <c r="Y2" s="728" t="s">
        <v>389</v>
      </c>
      <c r="Z2" s="727" t="s">
        <v>335</v>
      </c>
      <c r="AA2" s="728" t="s">
        <v>389</v>
      </c>
      <c r="AB2" s="727" t="s">
        <v>335</v>
      </c>
      <c r="AC2" s="728" t="s">
        <v>389</v>
      </c>
      <c r="AD2" s="727" t="s">
        <v>335</v>
      </c>
      <c r="AE2" s="728" t="s">
        <v>389</v>
      </c>
      <c r="AF2" s="727" t="s">
        <v>335</v>
      </c>
      <c r="AG2" s="728" t="s">
        <v>389</v>
      </c>
      <c r="AH2" s="727" t="s">
        <v>335</v>
      </c>
      <c r="AI2" s="728" t="s">
        <v>389</v>
      </c>
      <c r="AJ2" s="727" t="s">
        <v>335</v>
      </c>
      <c r="AK2" s="728" t="s">
        <v>389</v>
      </c>
      <c r="AL2" s="727" t="s">
        <v>335</v>
      </c>
      <c r="AM2" s="728" t="s">
        <v>389</v>
      </c>
      <c r="AN2" s="727" t="s">
        <v>335</v>
      </c>
      <c r="AO2" s="728" t="s">
        <v>389</v>
      </c>
      <c r="AP2" s="727" t="s">
        <v>335</v>
      </c>
      <c r="AQ2" s="728" t="s">
        <v>389</v>
      </c>
      <c r="AR2" s="727" t="s">
        <v>335</v>
      </c>
      <c r="AS2" s="728" t="s">
        <v>389</v>
      </c>
      <c r="AT2" s="727" t="s">
        <v>335</v>
      </c>
      <c r="AU2" s="728" t="s">
        <v>389</v>
      </c>
      <c r="AV2" s="727" t="s">
        <v>335</v>
      </c>
      <c r="AW2" s="728" t="s">
        <v>389</v>
      </c>
      <c r="AX2" s="727" t="s">
        <v>335</v>
      </c>
      <c r="AY2" s="728" t="s">
        <v>389</v>
      </c>
      <c r="AZ2" s="727" t="s">
        <v>335</v>
      </c>
      <c r="BA2" s="728" t="s">
        <v>389</v>
      </c>
    </row>
    <row r="3" spans="1:53" x14ac:dyDescent="0.3">
      <c r="A3" s="729" t="s">
        <v>267</v>
      </c>
      <c r="B3" s="730"/>
      <c r="C3" s="731"/>
      <c r="D3" s="732"/>
      <c r="E3" s="731"/>
      <c r="F3" s="732"/>
      <c r="G3" s="731"/>
      <c r="H3" s="732"/>
      <c r="I3" s="731"/>
      <c r="J3" s="732"/>
      <c r="K3" s="731"/>
      <c r="L3" s="732"/>
      <c r="M3" s="733"/>
      <c r="N3" s="732"/>
      <c r="O3" s="733"/>
      <c r="P3" s="730"/>
      <c r="Q3" s="733"/>
      <c r="R3" s="730"/>
      <c r="S3" s="733"/>
      <c r="T3" s="730"/>
      <c r="U3" s="733"/>
      <c r="V3" s="730"/>
      <c r="W3" s="733"/>
      <c r="X3" s="730"/>
      <c r="Y3" s="731"/>
      <c r="Z3" s="732"/>
      <c r="AA3" s="731"/>
      <c r="AB3" s="732"/>
      <c r="AC3" s="733"/>
      <c r="AD3" s="730"/>
      <c r="AE3" s="731"/>
      <c r="AF3" s="732"/>
      <c r="AG3" s="731"/>
      <c r="AH3" s="732"/>
      <c r="AI3" s="733"/>
      <c r="AJ3" s="730"/>
      <c r="AK3" s="731"/>
      <c r="AL3" s="732"/>
      <c r="AM3" s="731"/>
      <c r="AN3" s="732"/>
      <c r="AO3" s="731"/>
      <c r="AP3" s="732"/>
      <c r="AQ3" s="731"/>
      <c r="AR3" s="732"/>
      <c r="AS3" s="731"/>
      <c r="AT3" s="732"/>
      <c r="AU3" s="731"/>
      <c r="AV3" s="732"/>
      <c r="AW3" s="731"/>
      <c r="AX3" s="732"/>
      <c r="AY3" s="731"/>
      <c r="AZ3" s="732"/>
      <c r="BA3" s="733"/>
    </row>
    <row r="4" spans="1:53" x14ac:dyDescent="0.3">
      <c r="A4" s="285" t="s">
        <v>268</v>
      </c>
      <c r="B4" s="734"/>
      <c r="C4" s="735"/>
      <c r="D4" s="736"/>
      <c r="E4" s="735"/>
      <c r="F4" s="736"/>
      <c r="G4" s="735"/>
      <c r="H4" s="736"/>
      <c r="I4" s="735"/>
      <c r="J4" s="736"/>
      <c r="K4" s="735"/>
      <c r="L4" s="736"/>
      <c r="M4" s="737"/>
      <c r="N4" s="736"/>
      <c r="O4" s="737"/>
      <c r="P4" s="734"/>
      <c r="Q4" s="737"/>
      <c r="R4" s="734"/>
      <c r="S4" s="737"/>
      <c r="T4" s="734"/>
      <c r="U4" s="737"/>
      <c r="V4" s="734"/>
      <c r="W4" s="737"/>
      <c r="X4" s="734"/>
      <c r="Y4" s="735"/>
      <c r="Z4" s="736"/>
      <c r="AA4" s="735"/>
      <c r="AB4" s="736"/>
      <c r="AC4" s="737"/>
      <c r="AD4" s="734"/>
      <c r="AE4" s="735"/>
      <c r="AF4" s="736"/>
      <c r="AG4" s="735"/>
      <c r="AH4" s="736"/>
      <c r="AI4" s="737"/>
      <c r="AJ4" s="734"/>
      <c r="AK4" s="735"/>
      <c r="AL4" s="736"/>
      <c r="AM4" s="735"/>
      <c r="AN4" s="736"/>
      <c r="AO4" s="735"/>
      <c r="AP4" s="736"/>
      <c r="AQ4" s="735"/>
      <c r="AR4" s="736"/>
      <c r="AS4" s="735"/>
      <c r="AT4" s="736"/>
      <c r="AU4" s="735"/>
      <c r="AV4" s="736"/>
      <c r="AW4" s="735"/>
      <c r="AX4" s="736"/>
      <c r="AY4" s="735"/>
      <c r="AZ4" s="736"/>
      <c r="BA4" s="737"/>
    </row>
    <row r="5" spans="1:53" x14ac:dyDescent="0.3">
      <c r="A5" s="285" t="s">
        <v>269</v>
      </c>
      <c r="B5" s="738">
        <v>190121</v>
      </c>
      <c r="C5" s="738">
        <v>193823</v>
      </c>
      <c r="D5" s="736">
        <v>147164</v>
      </c>
      <c r="E5" s="735">
        <v>147773</v>
      </c>
      <c r="F5" s="736">
        <v>200490</v>
      </c>
      <c r="G5" s="735">
        <v>200490</v>
      </c>
      <c r="H5" s="736">
        <v>15071</v>
      </c>
      <c r="I5" s="735">
        <v>15071</v>
      </c>
      <c r="J5" s="736">
        <v>333120</v>
      </c>
      <c r="K5" s="735">
        <v>365320</v>
      </c>
      <c r="L5" s="736">
        <v>95000</v>
      </c>
      <c r="M5" s="737">
        <v>95000</v>
      </c>
      <c r="N5" s="736">
        <v>37406</v>
      </c>
      <c r="O5" s="737">
        <v>37406</v>
      </c>
      <c r="P5" s="734">
        <v>46555</v>
      </c>
      <c r="Q5" s="737">
        <v>91555</v>
      </c>
      <c r="R5" s="734">
        <v>185000</v>
      </c>
      <c r="S5" s="737"/>
      <c r="T5" s="734">
        <v>196582</v>
      </c>
      <c r="U5" s="737">
        <v>239582</v>
      </c>
      <c r="V5" s="734">
        <v>202479</v>
      </c>
      <c r="W5" s="737">
        <v>214918</v>
      </c>
      <c r="X5" s="734">
        <v>143729</v>
      </c>
      <c r="Y5" s="735">
        <v>143856</v>
      </c>
      <c r="Z5" s="736">
        <v>80000</v>
      </c>
      <c r="AA5" s="735">
        <v>80000</v>
      </c>
      <c r="AB5" s="736">
        <v>66346</v>
      </c>
      <c r="AC5" s="737">
        <v>75437</v>
      </c>
      <c r="AD5" s="734">
        <v>51029</v>
      </c>
      <c r="AE5" s="735">
        <v>51029</v>
      </c>
      <c r="AF5" s="736">
        <v>191881</v>
      </c>
      <c r="AG5" s="735">
        <v>191881</v>
      </c>
      <c r="AH5" s="736">
        <v>201288</v>
      </c>
      <c r="AI5" s="737">
        <v>201288</v>
      </c>
      <c r="AJ5" s="734">
        <v>119632</v>
      </c>
      <c r="AK5" s="735">
        <v>119632</v>
      </c>
      <c r="AL5" s="736"/>
      <c r="AM5" s="735"/>
      <c r="AN5" s="736">
        <v>100028</v>
      </c>
      <c r="AO5" s="735">
        <v>100083</v>
      </c>
      <c r="AP5" s="736">
        <v>17763</v>
      </c>
      <c r="AQ5" s="735">
        <v>17782</v>
      </c>
      <c r="AR5" s="736">
        <v>25896</v>
      </c>
      <c r="AS5" s="735"/>
      <c r="AT5" s="736">
        <v>195350</v>
      </c>
      <c r="AU5" s="735">
        <v>195350</v>
      </c>
      <c r="AV5" s="736">
        <f t="shared" ref="AV5:AW67" si="0">B5+D5+F5+H5+J5+L5+N5+P5+R5+T5+V5+X5+Z5+AB5+AD5+AF5+AH5+AJ5+AL5+AN5+AP5+AR5+AT5</f>
        <v>2841930</v>
      </c>
      <c r="AW5" s="735">
        <f t="shared" si="0"/>
        <v>2777276</v>
      </c>
      <c r="AX5" s="736">
        <v>632499</v>
      </c>
      <c r="AY5" s="735">
        <v>632500</v>
      </c>
      <c r="AZ5" s="736">
        <f>AV5+AX5</f>
        <v>3474429</v>
      </c>
      <c r="BA5" s="737">
        <f>AW5+AY5</f>
        <v>3409776</v>
      </c>
    </row>
    <row r="6" spans="1:53" x14ac:dyDescent="0.3">
      <c r="A6" s="285" t="s">
        <v>270</v>
      </c>
      <c r="B6" s="738"/>
      <c r="C6" s="738"/>
      <c r="D6" s="736"/>
      <c r="E6" s="735"/>
      <c r="F6" s="736"/>
      <c r="G6" s="735"/>
      <c r="H6" s="736"/>
      <c r="I6" s="735"/>
      <c r="J6" s="736"/>
      <c r="K6" s="735"/>
      <c r="L6" s="736"/>
      <c r="M6" s="737"/>
      <c r="N6" s="736"/>
      <c r="O6" s="737"/>
      <c r="P6" s="734">
        <v>20000</v>
      </c>
      <c r="Q6" s="737"/>
      <c r="R6" s="734"/>
      <c r="S6" s="737"/>
      <c r="T6" s="734"/>
      <c r="U6" s="737"/>
      <c r="V6" s="734">
        <v>1265</v>
      </c>
      <c r="W6" s="737">
        <v>562</v>
      </c>
      <c r="X6" s="734"/>
      <c r="Y6" s="735"/>
      <c r="Z6" s="736"/>
      <c r="AA6" s="735"/>
      <c r="AB6" s="736"/>
      <c r="AC6" s="737"/>
      <c r="AD6" s="734"/>
      <c r="AE6" s="735"/>
      <c r="AF6" s="736"/>
      <c r="AG6" s="735"/>
      <c r="AH6" s="736"/>
      <c r="AI6" s="737"/>
      <c r="AJ6" s="734"/>
      <c r="AK6" s="735"/>
      <c r="AL6" s="736"/>
      <c r="AM6" s="735"/>
      <c r="AN6" s="736"/>
      <c r="AO6" s="735"/>
      <c r="AP6" s="736"/>
      <c r="AQ6" s="735"/>
      <c r="AR6" s="736"/>
      <c r="AS6" s="735"/>
      <c r="AT6" s="736"/>
      <c r="AU6" s="735"/>
      <c r="AV6" s="736">
        <f t="shared" si="0"/>
        <v>21265</v>
      </c>
      <c r="AW6" s="735">
        <f t="shared" si="0"/>
        <v>562</v>
      </c>
      <c r="AX6" s="736"/>
      <c r="AY6" s="735"/>
      <c r="AZ6" s="736">
        <f t="shared" ref="AZ6:BA67" si="1">AV6+AX6</f>
        <v>21265</v>
      </c>
      <c r="BA6" s="737">
        <f t="shared" si="1"/>
        <v>562</v>
      </c>
    </row>
    <row r="7" spans="1:53" x14ac:dyDescent="0.3">
      <c r="A7" s="285" t="s">
        <v>271</v>
      </c>
      <c r="B7" s="738">
        <v>55353</v>
      </c>
      <c r="C7" s="738">
        <v>90083</v>
      </c>
      <c r="D7" s="736">
        <v>106061</v>
      </c>
      <c r="E7" s="735">
        <v>135593</v>
      </c>
      <c r="F7" s="736"/>
      <c r="G7" s="735"/>
      <c r="H7" s="736">
        <v>1032667</v>
      </c>
      <c r="I7" s="735">
        <v>1042558</v>
      </c>
      <c r="J7" s="736">
        <v>21203</v>
      </c>
      <c r="K7" s="735">
        <v>21194</v>
      </c>
      <c r="L7" s="736">
        <v>18585</v>
      </c>
      <c r="M7" s="737">
        <v>24789</v>
      </c>
      <c r="N7" s="736">
        <v>83292</v>
      </c>
      <c r="O7" s="737">
        <v>83292</v>
      </c>
      <c r="P7" s="734">
        <v>171192</v>
      </c>
      <c r="Q7" s="737">
        <v>171388</v>
      </c>
      <c r="R7" s="734"/>
      <c r="S7" s="737"/>
      <c r="T7" s="734">
        <v>10000</v>
      </c>
      <c r="U7" s="737">
        <v>10000</v>
      </c>
      <c r="V7" s="734">
        <v>701621</v>
      </c>
      <c r="W7" s="737">
        <v>1044904</v>
      </c>
      <c r="X7" s="734">
        <v>739079</v>
      </c>
      <c r="Y7" s="735">
        <v>813274</v>
      </c>
      <c r="Z7" s="736">
        <v>16479</v>
      </c>
      <c r="AA7" s="735">
        <v>23030</v>
      </c>
      <c r="AB7" s="736">
        <v>28000</v>
      </c>
      <c r="AC7" s="737">
        <v>68909</v>
      </c>
      <c r="AD7" s="734">
        <v>350959</v>
      </c>
      <c r="AE7" s="735">
        <v>461208</v>
      </c>
      <c r="AF7" s="736">
        <v>114370</v>
      </c>
      <c r="AG7" s="735">
        <v>158454</v>
      </c>
      <c r="AH7" s="736">
        <v>434</v>
      </c>
      <c r="AI7" s="737">
        <v>426</v>
      </c>
      <c r="AJ7" s="734">
        <v>30316</v>
      </c>
      <c r="AK7" s="735">
        <v>30316</v>
      </c>
      <c r="AL7" s="736"/>
      <c r="AM7" s="735"/>
      <c r="AN7" s="736">
        <v>994024</v>
      </c>
      <c r="AO7" s="735">
        <v>1139253</v>
      </c>
      <c r="AP7" s="736">
        <v>45751</v>
      </c>
      <c r="AQ7" s="735">
        <v>53865</v>
      </c>
      <c r="AR7" s="736">
        <v>32348</v>
      </c>
      <c r="AS7" s="735"/>
      <c r="AT7" s="736">
        <v>2596</v>
      </c>
      <c r="AU7" s="735">
        <v>25440</v>
      </c>
      <c r="AV7" s="736">
        <f t="shared" si="0"/>
        <v>4554330</v>
      </c>
      <c r="AW7" s="735">
        <f t="shared" si="0"/>
        <v>5397976</v>
      </c>
      <c r="AX7" s="736">
        <v>167150</v>
      </c>
      <c r="AY7" s="735">
        <v>2606416</v>
      </c>
      <c r="AZ7" s="736">
        <f t="shared" si="1"/>
        <v>4721480</v>
      </c>
      <c r="BA7" s="737">
        <f t="shared" si="1"/>
        <v>8004392</v>
      </c>
    </row>
    <row r="8" spans="1:53" x14ac:dyDescent="0.3">
      <c r="A8" s="285" t="s">
        <v>272</v>
      </c>
      <c r="B8" s="738">
        <v>3139</v>
      </c>
      <c r="C8" s="738">
        <v>5196</v>
      </c>
      <c r="D8" s="736"/>
      <c r="E8" s="735"/>
      <c r="F8" s="736"/>
      <c r="G8" s="735"/>
      <c r="H8" s="736">
        <v>50864</v>
      </c>
      <c r="I8" s="735">
        <v>24034</v>
      </c>
      <c r="J8" s="736">
        <v>200</v>
      </c>
      <c r="K8" s="735">
        <v>208</v>
      </c>
      <c r="L8" s="736">
        <v>16</v>
      </c>
      <c r="M8" s="737"/>
      <c r="N8" s="736">
        <v>718</v>
      </c>
      <c r="O8" s="737">
        <v>609</v>
      </c>
      <c r="P8" s="734">
        <v>1647</v>
      </c>
      <c r="Q8" s="737">
        <v>1389</v>
      </c>
      <c r="R8" s="734"/>
      <c r="S8" s="737"/>
      <c r="T8" s="734">
        <v>-1</v>
      </c>
      <c r="U8" s="737">
        <v>50</v>
      </c>
      <c r="V8" s="734">
        <v>13646</v>
      </c>
      <c r="W8" s="737">
        <v>9586</v>
      </c>
      <c r="X8" s="734">
        <v>25086</v>
      </c>
      <c r="Y8" s="735">
        <v>51797</v>
      </c>
      <c r="Z8" s="736">
        <v>316</v>
      </c>
      <c r="AA8" s="735">
        <v>646</v>
      </c>
      <c r="AB8" s="736">
        <v>70</v>
      </c>
      <c r="AC8" s="737"/>
      <c r="AD8" s="734">
        <v>33</v>
      </c>
      <c r="AE8" s="735">
        <v>76</v>
      </c>
      <c r="AF8" s="736">
        <v>257</v>
      </c>
      <c r="AG8" s="735">
        <v>1724</v>
      </c>
      <c r="AH8" s="736">
        <v>828</v>
      </c>
      <c r="AI8" s="737">
        <v>702</v>
      </c>
      <c r="AJ8" s="734">
        <v>3421</v>
      </c>
      <c r="AK8" s="735">
        <v>2784</v>
      </c>
      <c r="AL8" s="736"/>
      <c r="AM8" s="735"/>
      <c r="AN8" s="736">
        <v>25822</v>
      </c>
      <c r="AO8" s="735">
        <v>18598</v>
      </c>
      <c r="AP8" s="736">
        <v>2070</v>
      </c>
      <c r="AQ8" s="735">
        <v>824</v>
      </c>
      <c r="AR8" s="736">
        <v>130</v>
      </c>
      <c r="AS8" s="735"/>
      <c r="AT8" s="736"/>
      <c r="AU8" s="735"/>
      <c r="AV8" s="736">
        <f t="shared" si="0"/>
        <v>128262</v>
      </c>
      <c r="AW8" s="735">
        <f t="shared" si="0"/>
        <v>118223</v>
      </c>
      <c r="AX8" s="736">
        <v>5388</v>
      </c>
      <c r="AY8" s="735">
        <v>2671</v>
      </c>
      <c r="AZ8" s="736">
        <f t="shared" si="1"/>
        <v>133650</v>
      </c>
      <c r="BA8" s="737">
        <f t="shared" si="1"/>
        <v>120894</v>
      </c>
    </row>
    <row r="9" spans="1:53" x14ac:dyDescent="0.3">
      <c r="A9" s="285" t="s">
        <v>273</v>
      </c>
      <c r="B9" s="738"/>
      <c r="C9" s="739"/>
      <c r="D9" s="736"/>
      <c r="E9" s="735"/>
      <c r="F9" s="736"/>
      <c r="G9" s="735"/>
      <c r="H9" s="736"/>
      <c r="I9" s="735"/>
      <c r="J9" s="736"/>
      <c r="K9" s="735"/>
      <c r="L9" s="736"/>
      <c r="M9" s="737"/>
      <c r="N9" s="736"/>
      <c r="O9" s="737"/>
      <c r="P9" s="734"/>
      <c r="Q9" s="737"/>
      <c r="R9" s="734"/>
      <c r="S9" s="737"/>
      <c r="T9" s="734"/>
      <c r="U9" s="737"/>
      <c r="V9" s="734"/>
      <c r="W9" s="737"/>
      <c r="X9" s="734"/>
      <c r="Y9" s="735"/>
      <c r="Z9" s="736"/>
      <c r="AA9" s="740"/>
      <c r="AB9" s="736"/>
      <c r="AC9" s="737"/>
      <c r="AD9" s="734"/>
      <c r="AE9" s="735"/>
      <c r="AF9" s="736"/>
      <c r="AG9" s="735"/>
      <c r="AH9" s="736"/>
      <c r="AI9" s="737"/>
      <c r="AJ9" s="734"/>
      <c r="AK9" s="735"/>
      <c r="AL9" s="736"/>
      <c r="AM9" s="735"/>
      <c r="AN9" s="736"/>
      <c r="AO9" s="735"/>
      <c r="AP9" s="736"/>
      <c r="AQ9" s="735"/>
      <c r="AR9" s="736"/>
      <c r="AS9" s="735"/>
      <c r="AT9" s="736"/>
      <c r="AU9" s="735"/>
      <c r="AV9" s="736"/>
      <c r="AW9" s="735"/>
      <c r="AX9" s="736"/>
      <c r="AY9" s="735"/>
      <c r="AZ9" s="736"/>
      <c r="BA9" s="737"/>
    </row>
    <row r="10" spans="1:53" s="57" customFormat="1" x14ac:dyDescent="0.3">
      <c r="A10" s="652" t="s">
        <v>274</v>
      </c>
      <c r="B10" s="741">
        <f t="shared" ref="B10:W10" si="2">SUM(B5:B8)</f>
        <v>248613</v>
      </c>
      <c r="C10" s="742">
        <f t="shared" si="2"/>
        <v>289102</v>
      </c>
      <c r="D10" s="743">
        <f t="shared" si="2"/>
        <v>253225</v>
      </c>
      <c r="E10" s="742">
        <f t="shared" si="2"/>
        <v>283366</v>
      </c>
      <c r="F10" s="743">
        <f t="shared" si="2"/>
        <v>200490</v>
      </c>
      <c r="G10" s="742">
        <f t="shared" si="2"/>
        <v>200490</v>
      </c>
      <c r="H10" s="743">
        <f t="shared" si="2"/>
        <v>1098602</v>
      </c>
      <c r="I10" s="742">
        <f t="shared" si="2"/>
        <v>1081663</v>
      </c>
      <c r="J10" s="743">
        <f t="shared" si="2"/>
        <v>354523</v>
      </c>
      <c r="K10" s="742">
        <f t="shared" si="2"/>
        <v>386722</v>
      </c>
      <c r="L10" s="743">
        <f t="shared" si="2"/>
        <v>113601</v>
      </c>
      <c r="M10" s="744">
        <f t="shared" si="2"/>
        <v>119789</v>
      </c>
      <c r="N10" s="743">
        <f t="shared" si="2"/>
        <v>121416</v>
      </c>
      <c r="O10" s="744">
        <f t="shared" si="2"/>
        <v>121307</v>
      </c>
      <c r="P10" s="741">
        <f t="shared" si="2"/>
        <v>239394</v>
      </c>
      <c r="Q10" s="744">
        <f t="shared" si="2"/>
        <v>264332</v>
      </c>
      <c r="R10" s="741">
        <f t="shared" si="2"/>
        <v>185000</v>
      </c>
      <c r="S10" s="744">
        <f t="shared" si="2"/>
        <v>0</v>
      </c>
      <c r="T10" s="741">
        <f t="shared" si="2"/>
        <v>206581</v>
      </c>
      <c r="U10" s="744">
        <f t="shared" si="2"/>
        <v>249632</v>
      </c>
      <c r="V10" s="741">
        <f t="shared" si="2"/>
        <v>919011</v>
      </c>
      <c r="W10" s="744">
        <f t="shared" si="2"/>
        <v>1269970</v>
      </c>
      <c r="X10" s="741">
        <f>SUM(X5:X9)</f>
        <v>907894</v>
      </c>
      <c r="Y10" s="742">
        <f>SUM(Y5:Y9)</f>
        <v>1008927</v>
      </c>
      <c r="Z10" s="742">
        <f t="shared" ref="Z10:AO10" si="3">SUM(Z5:Z9)</f>
        <v>96795</v>
      </c>
      <c r="AA10" s="742">
        <f t="shared" si="3"/>
        <v>103676</v>
      </c>
      <c r="AB10" s="742">
        <f t="shared" si="3"/>
        <v>94416</v>
      </c>
      <c r="AC10" s="742">
        <f t="shared" si="3"/>
        <v>144346</v>
      </c>
      <c r="AD10" s="742">
        <f t="shared" si="3"/>
        <v>402021</v>
      </c>
      <c r="AE10" s="742">
        <f t="shared" si="3"/>
        <v>512313</v>
      </c>
      <c r="AF10" s="742">
        <f t="shared" si="3"/>
        <v>306508</v>
      </c>
      <c r="AG10" s="742">
        <f t="shared" si="3"/>
        <v>352059</v>
      </c>
      <c r="AH10" s="884">
        <f t="shared" si="3"/>
        <v>202550</v>
      </c>
      <c r="AI10" s="744">
        <f t="shared" si="3"/>
        <v>202416</v>
      </c>
      <c r="AJ10" s="883">
        <f t="shared" si="3"/>
        <v>153369</v>
      </c>
      <c r="AK10" s="742">
        <f t="shared" si="3"/>
        <v>152732</v>
      </c>
      <c r="AL10" s="742">
        <f t="shared" si="3"/>
        <v>0</v>
      </c>
      <c r="AM10" s="742">
        <f t="shared" si="3"/>
        <v>0</v>
      </c>
      <c r="AN10" s="742">
        <f t="shared" si="3"/>
        <v>1119874</v>
      </c>
      <c r="AO10" s="742">
        <f t="shared" si="3"/>
        <v>1257934</v>
      </c>
      <c r="AP10" s="745">
        <f t="shared" ref="AP10:AU10" si="4">SUM(AP5:AP8)</f>
        <v>65584</v>
      </c>
      <c r="AQ10" s="748">
        <f t="shared" si="4"/>
        <v>72471</v>
      </c>
      <c r="AR10" s="745">
        <f t="shared" si="4"/>
        <v>58374</v>
      </c>
      <c r="AS10" s="748">
        <f t="shared" si="4"/>
        <v>0</v>
      </c>
      <c r="AT10" s="745">
        <f t="shared" si="4"/>
        <v>197946</v>
      </c>
      <c r="AU10" s="748">
        <f t="shared" si="4"/>
        <v>220790</v>
      </c>
      <c r="AV10" s="736">
        <f t="shared" si="0"/>
        <v>7545787</v>
      </c>
      <c r="AW10" s="735">
        <f t="shared" si="0"/>
        <v>8294037</v>
      </c>
      <c r="AX10" s="745">
        <f>SUM(AX5:AX8)</f>
        <v>805037</v>
      </c>
      <c r="AY10" s="748">
        <f>SUM(AY5:AY8)</f>
        <v>3241587</v>
      </c>
      <c r="AZ10" s="736">
        <f t="shared" si="1"/>
        <v>8350824</v>
      </c>
      <c r="BA10" s="737">
        <f t="shared" si="1"/>
        <v>11535624</v>
      </c>
    </row>
    <row r="11" spans="1:53" x14ac:dyDescent="0.3">
      <c r="A11" s="285" t="s">
        <v>275</v>
      </c>
      <c r="B11" s="738">
        <v>50000</v>
      </c>
      <c r="C11" s="739">
        <v>50000</v>
      </c>
      <c r="D11" s="736">
        <v>7000</v>
      </c>
      <c r="E11" s="735">
        <v>7000</v>
      </c>
      <c r="F11" s="736"/>
      <c r="G11" s="735"/>
      <c r="H11" s="736"/>
      <c r="I11" s="735"/>
      <c r="J11" s="736">
        <v>6000</v>
      </c>
      <c r="K11" s="735">
        <v>6000</v>
      </c>
      <c r="L11" s="736">
        <v>2835</v>
      </c>
      <c r="M11" s="737">
        <v>3873</v>
      </c>
      <c r="N11" s="736"/>
      <c r="O11" s="737"/>
      <c r="P11" s="734"/>
      <c r="Q11" s="737"/>
      <c r="R11" s="734"/>
      <c r="S11" s="737"/>
      <c r="T11" s="734">
        <v>3000</v>
      </c>
      <c r="U11" s="737">
        <v>3000</v>
      </c>
      <c r="V11" s="734">
        <v>60000</v>
      </c>
      <c r="W11" s="737">
        <v>95000</v>
      </c>
      <c r="X11" s="734">
        <v>120000</v>
      </c>
      <c r="Y11" s="735">
        <v>120000</v>
      </c>
      <c r="Z11" s="736"/>
      <c r="AA11" s="735"/>
      <c r="AB11" s="736">
        <v>10000</v>
      </c>
      <c r="AC11" s="737">
        <v>22500</v>
      </c>
      <c r="AD11" s="734"/>
      <c r="AE11" s="735"/>
      <c r="AF11" s="736">
        <v>49600</v>
      </c>
      <c r="AG11" s="735">
        <v>49600</v>
      </c>
      <c r="AH11" s="736"/>
      <c r="AI11" s="737">
        <v>40000</v>
      </c>
      <c r="AJ11" s="734"/>
      <c r="AK11" s="735"/>
      <c r="AL11" s="736"/>
      <c r="AM11" s="735"/>
      <c r="AN11" s="736"/>
      <c r="AO11" s="735"/>
      <c r="AP11" s="736"/>
      <c r="AQ11" s="735"/>
      <c r="AR11" s="736">
        <v>12500</v>
      </c>
      <c r="AS11" s="735"/>
      <c r="AT11" s="736"/>
      <c r="AU11" s="735">
        <v>48800</v>
      </c>
      <c r="AV11" s="736">
        <f t="shared" si="0"/>
        <v>320935</v>
      </c>
      <c r="AW11" s="735">
        <f t="shared" si="0"/>
        <v>445773</v>
      </c>
      <c r="AX11" s="736"/>
      <c r="AY11" s="735"/>
      <c r="AZ11" s="736">
        <f t="shared" si="1"/>
        <v>320935</v>
      </c>
      <c r="BA11" s="737">
        <f t="shared" si="1"/>
        <v>445773</v>
      </c>
    </row>
    <row r="12" spans="1:53" x14ac:dyDescent="0.3">
      <c r="A12" s="652" t="s">
        <v>276</v>
      </c>
      <c r="B12" s="738"/>
      <c r="C12" s="739"/>
      <c r="D12" s="736"/>
      <c r="E12" s="735"/>
      <c r="F12" s="736"/>
      <c r="G12" s="735"/>
      <c r="H12" s="736"/>
      <c r="I12" s="735"/>
      <c r="J12" s="736"/>
      <c r="K12" s="735"/>
      <c r="L12" s="736"/>
      <c r="M12" s="737"/>
      <c r="N12" s="736"/>
      <c r="O12" s="737"/>
      <c r="P12" s="734"/>
      <c r="Q12" s="737"/>
      <c r="R12" s="734"/>
      <c r="S12" s="737"/>
      <c r="T12" s="734"/>
      <c r="U12" s="737"/>
      <c r="V12" s="734"/>
      <c r="W12" s="737"/>
      <c r="X12" s="734"/>
      <c r="Y12" s="735"/>
      <c r="Z12" s="736"/>
      <c r="AA12" s="735"/>
      <c r="AB12" s="736"/>
      <c r="AC12" s="737"/>
      <c r="AD12" s="734"/>
      <c r="AE12" s="735"/>
      <c r="AF12" s="736"/>
      <c r="AG12" s="735"/>
      <c r="AH12" s="736"/>
      <c r="AI12" s="737"/>
      <c r="AJ12" s="734"/>
      <c r="AK12" s="735"/>
      <c r="AL12" s="736"/>
      <c r="AM12" s="735"/>
      <c r="AN12" s="736"/>
      <c r="AO12" s="735"/>
      <c r="AP12" s="736"/>
      <c r="AQ12" s="735"/>
      <c r="AR12" s="736"/>
      <c r="AS12" s="735"/>
      <c r="AT12" s="736"/>
      <c r="AU12" s="735"/>
      <c r="AV12" s="736">
        <f t="shared" si="0"/>
        <v>0</v>
      </c>
      <c r="AW12" s="735">
        <f t="shared" si="0"/>
        <v>0</v>
      </c>
      <c r="AX12" s="736"/>
      <c r="AY12" s="735"/>
      <c r="AZ12" s="736">
        <f t="shared" si="1"/>
        <v>0</v>
      </c>
      <c r="BA12" s="737">
        <f t="shared" si="1"/>
        <v>0</v>
      </c>
    </row>
    <row r="13" spans="1:53" x14ac:dyDescent="0.3">
      <c r="A13" s="285" t="s">
        <v>272</v>
      </c>
      <c r="B13" s="738">
        <v>23609</v>
      </c>
      <c r="C13" s="739">
        <v>26531</v>
      </c>
      <c r="D13" s="736">
        <v>-6</v>
      </c>
      <c r="E13" s="735">
        <v>-226</v>
      </c>
      <c r="F13" s="736">
        <v>105</v>
      </c>
      <c r="G13" s="735">
        <v>103</v>
      </c>
      <c r="H13" s="736">
        <v>228088</v>
      </c>
      <c r="I13" s="735">
        <v>180667</v>
      </c>
      <c r="J13" s="736">
        <v>2898</v>
      </c>
      <c r="K13" s="735">
        <v>1241</v>
      </c>
      <c r="L13" s="736"/>
      <c r="M13" s="737"/>
      <c r="N13" s="736">
        <v>36</v>
      </c>
      <c r="O13" s="737"/>
      <c r="P13" s="734">
        <v>5031</v>
      </c>
      <c r="Q13" s="737">
        <v>4854</v>
      </c>
      <c r="R13" s="734">
        <v>13144</v>
      </c>
      <c r="S13" s="737"/>
      <c r="T13" s="734">
        <v>25</v>
      </c>
      <c r="U13" s="737">
        <v>237</v>
      </c>
      <c r="V13" s="734">
        <v>253448</v>
      </c>
      <c r="W13" s="737">
        <v>249841</v>
      </c>
      <c r="X13" s="734">
        <v>313614</v>
      </c>
      <c r="Y13" s="735">
        <v>328463</v>
      </c>
      <c r="Z13" s="736">
        <v>3521</v>
      </c>
      <c r="AA13" s="735">
        <v>5834</v>
      </c>
      <c r="AB13" s="736">
        <v>394</v>
      </c>
      <c r="AC13" s="737">
        <v>1306</v>
      </c>
      <c r="AD13" s="734">
        <v>25376</v>
      </c>
      <c r="AE13" s="735">
        <v>26599</v>
      </c>
      <c r="AF13" s="736">
        <v>90570</v>
      </c>
      <c r="AG13" s="735">
        <v>105782</v>
      </c>
      <c r="AH13" s="736">
        <v>33582</v>
      </c>
      <c r="AI13" s="737">
        <v>29036</v>
      </c>
      <c r="AJ13" s="734">
        <v>17150</v>
      </c>
      <c r="AK13" s="735">
        <v>20143</v>
      </c>
      <c r="AL13" s="736"/>
      <c r="AM13" s="735"/>
      <c r="AN13" s="736">
        <v>341038</v>
      </c>
      <c r="AO13" s="735">
        <v>289079</v>
      </c>
      <c r="AP13" s="736">
        <v>7357</v>
      </c>
      <c r="AQ13" s="735">
        <v>4221</v>
      </c>
      <c r="AR13" s="736">
        <v>1481</v>
      </c>
      <c r="AS13" s="735"/>
      <c r="AT13" s="736">
        <v>168050</v>
      </c>
      <c r="AU13" s="735">
        <v>131112</v>
      </c>
      <c r="AV13" s="736">
        <f t="shared" si="0"/>
        <v>1528511</v>
      </c>
      <c r="AW13" s="735">
        <f t="shared" si="0"/>
        <v>1404823</v>
      </c>
      <c r="AX13" s="736">
        <v>38211815</v>
      </c>
      <c r="AY13" s="735">
        <v>44006376</v>
      </c>
      <c r="AZ13" s="736">
        <f t="shared" si="1"/>
        <v>39740326</v>
      </c>
      <c r="BA13" s="737">
        <f t="shared" si="1"/>
        <v>45411199</v>
      </c>
    </row>
    <row r="14" spans="1:53" x14ac:dyDescent="0.3">
      <c r="A14" s="285" t="s">
        <v>277</v>
      </c>
      <c r="B14" s="738"/>
      <c r="C14" s="739"/>
      <c r="D14" s="736"/>
      <c r="E14" s="735"/>
      <c r="F14" s="736"/>
      <c r="G14" s="735"/>
      <c r="H14" s="736"/>
      <c r="I14" s="735"/>
      <c r="J14" s="736"/>
      <c r="K14" s="735"/>
      <c r="L14" s="736"/>
      <c r="M14" s="737"/>
      <c r="N14" s="736"/>
      <c r="O14" s="737"/>
      <c r="P14" s="734"/>
      <c r="Q14" s="737"/>
      <c r="R14" s="734"/>
      <c r="S14" s="737"/>
      <c r="T14" s="734"/>
      <c r="U14" s="737"/>
      <c r="V14" s="734"/>
      <c r="W14" s="737"/>
      <c r="X14" s="734"/>
      <c r="Y14" s="735"/>
      <c r="Z14" s="736"/>
      <c r="AA14" s="735"/>
      <c r="AB14" s="736"/>
      <c r="AC14" s="737"/>
      <c r="AD14" s="734">
        <v>4974</v>
      </c>
      <c r="AE14" s="735">
        <v>7478</v>
      </c>
      <c r="AF14" s="736"/>
      <c r="AG14" s="735"/>
      <c r="AH14" s="736"/>
      <c r="AI14" s="737"/>
      <c r="AJ14" s="734"/>
      <c r="AK14" s="735"/>
      <c r="AL14" s="736"/>
      <c r="AM14" s="735"/>
      <c r="AN14" s="736"/>
      <c r="AO14" s="735"/>
      <c r="AP14" s="736"/>
      <c r="AQ14" s="735"/>
      <c r="AR14" s="736"/>
      <c r="AS14" s="735"/>
      <c r="AT14" s="736"/>
      <c r="AU14" s="735"/>
      <c r="AV14" s="736">
        <f t="shared" si="0"/>
        <v>4974</v>
      </c>
      <c r="AW14" s="735">
        <f t="shared" si="0"/>
        <v>7478</v>
      </c>
      <c r="AX14" s="736"/>
      <c r="AY14" s="735"/>
      <c r="AZ14" s="736">
        <f t="shared" si="1"/>
        <v>4974</v>
      </c>
      <c r="BA14" s="737">
        <f t="shared" si="1"/>
        <v>7478</v>
      </c>
    </row>
    <row r="15" spans="1:53" x14ac:dyDescent="0.3">
      <c r="A15" s="285" t="s">
        <v>278</v>
      </c>
      <c r="B15" s="738">
        <v>2614698</v>
      </c>
      <c r="C15" s="739">
        <v>3409236</v>
      </c>
      <c r="D15" s="736"/>
      <c r="E15" s="735"/>
      <c r="F15" s="736"/>
      <c r="G15" s="735"/>
      <c r="H15" s="736">
        <v>3644761</v>
      </c>
      <c r="I15" s="735">
        <v>4189467</v>
      </c>
      <c r="J15" s="736"/>
      <c r="K15" s="735"/>
      <c r="L15" s="736"/>
      <c r="M15" s="737"/>
      <c r="N15" s="736"/>
      <c r="O15" s="737"/>
      <c r="P15" s="734"/>
      <c r="Q15" s="737"/>
      <c r="R15" s="734"/>
      <c r="S15" s="737"/>
      <c r="T15" s="734"/>
      <c r="U15" s="737"/>
      <c r="V15" s="734"/>
      <c r="W15" s="737"/>
      <c r="X15" s="734"/>
      <c r="Y15" s="735"/>
      <c r="Z15" s="736"/>
      <c r="AA15" s="735"/>
      <c r="AB15" s="736"/>
      <c r="AC15" s="737"/>
      <c r="AD15" s="734"/>
      <c r="AE15" s="735"/>
      <c r="AF15" s="736"/>
      <c r="AG15" s="735"/>
      <c r="AH15" s="736"/>
      <c r="AI15" s="737"/>
      <c r="AJ15" s="734"/>
      <c r="AK15" s="735"/>
      <c r="AL15" s="736"/>
      <c r="AM15" s="735"/>
      <c r="AN15" s="736"/>
      <c r="AO15" s="735"/>
      <c r="AP15" s="736"/>
      <c r="AQ15" s="735"/>
      <c r="AR15" s="736"/>
      <c r="AS15" s="735"/>
      <c r="AT15" s="736"/>
      <c r="AU15" s="735"/>
      <c r="AV15" s="736">
        <f t="shared" si="0"/>
        <v>6259459</v>
      </c>
      <c r="AW15" s="735">
        <f t="shared" si="0"/>
        <v>7598703</v>
      </c>
      <c r="AX15" s="736"/>
      <c r="AY15" s="735"/>
      <c r="AZ15" s="736">
        <f t="shared" si="1"/>
        <v>6259459</v>
      </c>
      <c r="BA15" s="737">
        <f t="shared" si="1"/>
        <v>7598703</v>
      </c>
    </row>
    <row r="16" spans="1:53" x14ac:dyDescent="0.3">
      <c r="A16" s="285" t="s">
        <v>279</v>
      </c>
      <c r="B16" s="738"/>
      <c r="C16" s="739"/>
      <c r="D16" s="736"/>
      <c r="E16" s="735"/>
      <c r="F16" s="736">
        <v>4553</v>
      </c>
      <c r="G16" s="735">
        <v>6442</v>
      </c>
      <c r="H16" s="736"/>
      <c r="I16" s="735"/>
      <c r="J16" s="736"/>
      <c r="K16" s="735"/>
      <c r="L16" s="736">
        <v>7548</v>
      </c>
      <c r="M16" s="737">
        <v>12547</v>
      </c>
      <c r="N16" s="736"/>
      <c r="O16" s="737"/>
      <c r="P16" s="734"/>
      <c r="Q16" s="737"/>
      <c r="R16" s="734"/>
      <c r="S16" s="737"/>
      <c r="T16" s="734"/>
      <c r="U16" s="737"/>
      <c r="V16" s="734"/>
      <c r="W16" s="737"/>
      <c r="X16" s="734"/>
      <c r="Y16" s="735"/>
      <c r="Z16" s="736"/>
      <c r="AA16" s="735"/>
      <c r="AB16" s="736"/>
      <c r="AC16" s="737"/>
      <c r="AD16" s="734"/>
      <c r="AE16" s="735"/>
      <c r="AF16" s="736"/>
      <c r="AG16" s="735"/>
      <c r="AH16" s="736"/>
      <c r="AI16" s="737"/>
      <c r="AJ16" s="734"/>
      <c r="AK16" s="735"/>
      <c r="AL16" s="736"/>
      <c r="AM16" s="735"/>
      <c r="AN16" s="736"/>
      <c r="AO16" s="735"/>
      <c r="AP16" s="736"/>
      <c r="AQ16" s="735"/>
      <c r="AR16" s="736"/>
      <c r="AS16" s="735"/>
      <c r="AT16" s="736"/>
      <c r="AU16" s="735"/>
      <c r="AV16" s="736">
        <f t="shared" si="0"/>
        <v>12101</v>
      </c>
      <c r="AW16" s="735">
        <f t="shared" si="0"/>
        <v>18989</v>
      </c>
      <c r="AX16" s="736"/>
      <c r="AY16" s="735"/>
      <c r="AZ16" s="736">
        <f t="shared" si="1"/>
        <v>12101</v>
      </c>
      <c r="BA16" s="737">
        <f t="shared" si="1"/>
        <v>18989</v>
      </c>
    </row>
    <row r="17" spans="1:53" x14ac:dyDescent="0.3">
      <c r="A17" s="652" t="s">
        <v>278</v>
      </c>
      <c r="B17" s="738"/>
      <c r="C17" s="739"/>
      <c r="D17" s="736">
        <v>195649</v>
      </c>
      <c r="E17" s="735">
        <v>237803</v>
      </c>
      <c r="F17" s="736"/>
      <c r="G17" s="735"/>
      <c r="H17" s="736"/>
      <c r="I17" s="735"/>
      <c r="J17" s="736">
        <v>842926</v>
      </c>
      <c r="K17" s="735">
        <v>1016170</v>
      </c>
      <c r="L17" s="736">
        <f>7524+604+144097+498489+3737+320904+89477+525</f>
        <v>1065357</v>
      </c>
      <c r="M17" s="737">
        <f>4896+351+260570+646260+1583+409135+109885+544</f>
        <v>1433224</v>
      </c>
      <c r="N17" s="736">
        <v>481204</v>
      </c>
      <c r="O17" s="737">
        <v>565394</v>
      </c>
      <c r="P17" s="734">
        <v>316153</v>
      </c>
      <c r="Q17" s="737">
        <v>412418</v>
      </c>
      <c r="R17" s="734">
        <f>964137+2771+431452+24054+71203+106928</f>
        <v>1600545</v>
      </c>
      <c r="S17" s="737"/>
      <c r="T17" s="734">
        <v>468603</v>
      </c>
      <c r="U17" s="737">
        <v>566688</v>
      </c>
      <c r="V17" s="734">
        <v>9985596</v>
      </c>
      <c r="W17" s="737">
        <v>13512208</v>
      </c>
      <c r="X17" s="734">
        <v>6977030</v>
      </c>
      <c r="Y17" s="735">
        <v>8481813</v>
      </c>
      <c r="Z17" s="736">
        <v>834887</v>
      </c>
      <c r="AA17" s="735">
        <v>961620</v>
      </c>
      <c r="AB17" s="736">
        <v>1016679</v>
      </c>
      <c r="AC17" s="737">
        <v>1184641</v>
      </c>
      <c r="AD17" s="734">
        <v>2519054</v>
      </c>
      <c r="AE17" s="735">
        <v>3155924</v>
      </c>
      <c r="AF17" s="736">
        <v>6329371</v>
      </c>
      <c r="AG17" s="735">
        <v>7576333</v>
      </c>
      <c r="AH17" s="736">
        <v>2212831</v>
      </c>
      <c r="AI17" s="737">
        <v>2711737</v>
      </c>
      <c r="AJ17" s="734">
        <v>1834371</v>
      </c>
      <c r="AK17" s="735">
        <v>2102591</v>
      </c>
      <c r="AL17" s="736"/>
      <c r="AM17" s="735"/>
      <c r="AN17" s="736">
        <v>10533389</v>
      </c>
      <c r="AO17" s="735">
        <v>12415405</v>
      </c>
      <c r="AP17" s="736">
        <v>614041</v>
      </c>
      <c r="AQ17" s="735">
        <v>768395</v>
      </c>
      <c r="AR17" s="736">
        <v>1059400</v>
      </c>
      <c r="AS17" s="735"/>
      <c r="AT17" s="736">
        <v>3081351</v>
      </c>
      <c r="AU17" s="735">
        <v>3958004</v>
      </c>
      <c r="AV17" s="736">
        <f t="shared" si="0"/>
        <v>51968437</v>
      </c>
      <c r="AW17" s="735">
        <f t="shared" si="0"/>
        <v>61060368</v>
      </c>
      <c r="AX17" s="736">
        <v>364241806</v>
      </c>
      <c r="AY17" s="735">
        <v>397945490</v>
      </c>
      <c r="AZ17" s="736">
        <f t="shared" si="1"/>
        <v>416210243</v>
      </c>
      <c r="BA17" s="737">
        <f t="shared" si="1"/>
        <v>459005858</v>
      </c>
    </row>
    <row r="18" spans="1:53" x14ac:dyDescent="0.3">
      <c r="A18" s="285" t="s">
        <v>219</v>
      </c>
      <c r="B18" s="738"/>
      <c r="C18" s="739"/>
      <c r="D18" s="736"/>
      <c r="E18" s="735"/>
      <c r="F18" s="736">
        <f>3313+43</f>
        <v>3356</v>
      </c>
      <c r="G18" s="735">
        <f>3182+122+32</f>
        <v>3336</v>
      </c>
      <c r="H18" s="736"/>
      <c r="I18" s="735"/>
      <c r="J18" s="736"/>
      <c r="K18" s="735"/>
      <c r="L18" s="736"/>
      <c r="M18" s="737"/>
      <c r="N18" s="736"/>
      <c r="O18" s="737"/>
      <c r="P18" s="734"/>
      <c r="Q18" s="737"/>
      <c r="R18" s="734"/>
      <c r="S18" s="737"/>
      <c r="T18" s="734"/>
      <c r="U18" s="737"/>
      <c r="V18" s="734"/>
      <c r="W18" s="737"/>
      <c r="X18" s="734"/>
      <c r="Y18" s="735"/>
      <c r="Z18" s="736"/>
      <c r="AA18" s="735"/>
      <c r="AB18" s="736"/>
      <c r="AC18" s="737"/>
      <c r="AD18" s="734"/>
      <c r="AE18" s="735"/>
      <c r="AF18" s="736"/>
      <c r="AG18" s="735"/>
      <c r="AH18" s="736"/>
      <c r="AI18" s="737"/>
      <c r="AJ18" s="734"/>
      <c r="AK18" s="735"/>
      <c r="AL18" s="736"/>
      <c r="AM18" s="735"/>
      <c r="AN18" s="736"/>
      <c r="AO18" s="735"/>
      <c r="AP18" s="736"/>
      <c r="AQ18" s="735"/>
      <c r="AR18" s="736"/>
      <c r="AS18" s="735"/>
      <c r="AT18" s="736"/>
      <c r="AU18" s="735"/>
      <c r="AV18" s="736">
        <f t="shared" si="0"/>
        <v>3356</v>
      </c>
      <c r="AW18" s="735">
        <f t="shared" si="0"/>
        <v>3336</v>
      </c>
      <c r="AX18" s="736"/>
      <c r="AY18" s="735"/>
      <c r="AZ18" s="736">
        <f t="shared" si="1"/>
        <v>3356</v>
      </c>
      <c r="BA18" s="737">
        <f t="shared" si="1"/>
        <v>3336</v>
      </c>
    </row>
    <row r="19" spans="1:53" x14ac:dyDescent="0.3">
      <c r="A19" s="285" t="s">
        <v>280</v>
      </c>
      <c r="B19" s="738"/>
      <c r="C19" s="739"/>
      <c r="D19" s="736"/>
      <c r="E19" s="735"/>
      <c r="F19" s="736">
        <f>663940+18544+5441+310+5937+707+1748</f>
        <v>696627</v>
      </c>
      <c r="G19" s="735">
        <f>3153+87+748481+18758+8141+5+7073+373+2568</f>
        <v>788639</v>
      </c>
      <c r="H19" s="736"/>
      <c r="I19" s="735"/>
      <c r="J19" s="736"/>
      <c r="K19" s="735"/>
      <c r="L19" s="736"/>
      <c r="M19" s="737"/>
      <c r="N19" s="736"/>
      <c r="O19" s="737"/>
      <c r="P19" s="734"/>
      <c r="Q19" s="737"/>
      <c r="R19" s="734"/>
      <c r="S19" s="737"/>
      <c r="T19" s="734"/>
      <c r="U19" s="737"/>
      <c r="V19" s="734"/>
      <c r="W19" s="737"/>
      <c r="X19" s="734"/>
      <c r="Y19" s="735"/>
      <c r="Z19" s="736"/>
      <c r="AA19" s="735"/>
      <c r="AB19" s="736"/>
      <c r="AC19" s="737"/>
      <c r="AD19" s="734"/>
      <c r="AE19" s="735"/>
      <c r="AF19" s="736"/>
      <c r="AG19" s="735"/>
      <c r="AH19" s="736"/>
      <c r="AI19" s="737"/>
      <c r="AJ19" s="734"/>
      <c r="AK19" s="735"/>
      <c r="AL19" s="736"/>
      <c r="AM19" s="735"/>
      <c r="AN19" s="736"/>
      <c r="AO19" s="735"/>
      <c r="AP19" s="736"/>
      <c r="AQ19" s="735"/>
      <c r="AR19" s="736"/>
      <c r="AS19" s="735"/>
      <c r="AT19" s="736"/>
      <c r="AU19" s="735"/>
      <c r="AV19" s="736">
        <f t="shared" si="0"/>
        <v>696627</v>
      </c>
      <c r="AW19" s="735">
        <f t="shared" si="0"/>
        <v>788639</v>
      </c>
      <c r="AX19" s="736"/>
      <c r="AY19" s="735"/>
      <c r="AZ19" s="736">
        <f t="shared" si="1"/>
        <v>696627</v>
      </c>
      <c r="BA19" s="737">
        <f t="shared" si="1"/>
        <v>788639</v>
      </c>
    </row>
    <row r="20" spans="1:53" x14ac:dyDescent="0.3">
      <c r="A20" s="652" t="s">
        <v>281</v>
      </c>
      <c r="B20" s="738"/>
      <c r="C20" s="739"/>
      <c r="D20" s="736"/>
      <c r="E20" s="735"/>
      <c r="F20" s="736"/>
      <c r="G20" s="735"/>
      <c r="H20" s="736"/>
      <c r="I20" s="735"/>
      <c r="J20" s="736"/>
      <c r="K20" s="735"/>
      <c r="L20" s="736"/>
      <c r="M20" s="737"/>
      <c r="N20" s="736"/>
      <c r="O20" s="737"/>
      <c r="P20" s="734"/>
      <c r="Q20" s="737"/>
      <c r="R20" s="734"/>
      <c r="S20" s="737"/>
      <c r="T20" s="734"/>
      <c r="U20" s="737"/>
      <c r="V20" s="734"/>
      <c r="W20" s="737"/>
      <c r="X20" s="734"/>
      <c r="Y20" s="735"/>
      <c r="Z20" s="736"/>
      <c r="AA20" s="735"/>
      <c r="AB20" s="736"/>
      <c r="AC20" s="737"/>
      <c r="AD20" s="734"/>
      <c r="AE20" s="735"/>
      <c r="AF20" s="736"/>
      <c r="AG20" s="735"/>
      <c r="AH20" s="736"/>
      <c r="AI20" s="737"/>
      <c r="AJ20" s="734"/>
      <c r="AK20" s="735"/>
      <c r="AL20" s="736"/>
      <c r="AM20" s="735"/>
      <c r="AN20" s="736"/>
      <c r="AO20" s="735"/>
      <c r="AP20" s="736"/>
      <c r="AQ20" s="735"/>
      <c r="AR20" s="736"/>
      <c r="AS20" s="735"/>
      <c r="AT20" s="736"/>
      <c r="AU20" s="735"/>
      <c r="AV20" s="736">
        <f t="shared" si="0"/>
        <v>0</v>
      </c>
      <c r="AW20" s="735">
        <f t="shared" si="0"/>
        <v>0</v>
      </c>
      <c r="AX20" s="736">
        <v>1285197</v>
      </c>
      <c r="AY20" s="735">
        <v>1292579</v>
      </c>
      <c r="AZ20" s="736">
        <f t="shared" si="1"/>
        <v>1285197</v>
      </c>
      <c r="BA20" s="737">
        <f t="shared" si="1"/>
        <v>1292579</v>
      </c>
    </row>
    <row r="21" spans="1:53" x14ac:dyDescent="0.3">
      <c r="A21" s="285" t="s">
        <v>282</v>
      </c>
      <c r="B21" s="738"/>
      <c r="C21" s="739"/>
      <c r="D21" s="736"/>
      <c r="E21" s="735"/>
      <c r="F21" s="736"/>
      <c r="G21" s="735"/>
      <c r="H21" s="736"/>
      <c r="I21" s="735"/>
      <c r="J21" s="736"/>
      <c r="K21" s="735"/>
      <c r="L21" s="736"/>
      <c r="M21" s="737"/>
      <c r="N21" s="736"/>
      <c r="O21" s="737"/>
      <c r="P21" s="734"/>
      <c r="Q21" s="737"/>
      <c r="R21" s="734"/>
      <c r="S21" s="737"/>
      <c r="T21" s="734"/>
      <c r="U21" s="737"/>
      <c r="V21" s="734"/>
      <c r="W21" s="737"/>
      <c r="X21" s="734"/>
      <c r="Y21" s="735"/>
      <c r="Z21" s="736"/>
      <c r="AA21" s="735"/>
      <c r="AB21" s="736"/>
      <c r="AC21" s="737"/>
      <c r="AD21" s="734"/>
      <c r="AE21" s="735"/>
      <c r="AF21" s="736"/>
      <c r="AG21" s="735"/>
      <c r="AH21" s="736"/>
      <c r="AI21" s="737"/>
      <c r="AJ21" s="734"/>
      <c r="AK21" s="735"/>
      <c r="AL21" s="736"/>
      <c r="AM21" s="735"/>
      <c r="AN21" s="736"/>
      <c r="AO21" s="735"/>
      <c r="AP21" s="736"/>
      <c r="AQ21" s="735"/>
      <c r="AR21" s="736"/>
      <c r="AS21" s="735"/>
      <c r="AT21" s="736"/>
      <c r="AU21" s="735"/>
      <c r="AV21" s="736">
        <f t="shared" si="0"/>
        <v>0</v>
      </c>
      <c r="AW21" s="735">
        <f t="shared" si="0"/>
        <v>0</v>
      </c>
      <c r="AX21" s="736"/>
      <c r="AY21" s="735"/>
      <c r="AZ21" s="736">
        <f t="shared" si="1"/>
        <v>0</v>
      </c>
      <c r="BA21" s="737">
        <f t="shared" si="1"/>
        <v>0</v>
      </c>
    </row>
    <row r="22" spans="1:53" x14ac:dyDescent="0.3">
      <c r="A22" s="285" t="s">
        <v>283</v>
      </c>
      <c r="B22" s="738"/>
      <c r="C22" s="739"/>
      <c r="D22" s="736"/>
      <c r="E22" s="735"/>
      <c r="F22" s="736"/>
      <c r="G22" s="735"/>
      <c r="H22" s="736"/>
      <c r="I22" s="735"/>
      <c r="J22" s="736"/>
      <c r="K22" s="735"/>
      <c r="L22" s="736"/>
      <c r="M22" s="737"/>
      <c r="N22" s="736"/>
      <c r="O22" s="737"/>
      <c r="P22" s="734"/>
      <c r="Q22" s="737"/>
      <c r="R22" s="734"/>
      <c r="S22" s="737"/>
      <c r="T22" s="734"/>
      <c r="U22" s="737"/>
      <c r="V22" s="734"/>
      <c r="W22" s="737"/>
      <c r="X22" s="734"/>
      <c r="Y22" s="735"/>
      <c r="Z22" s="736"/>
      <c r="AA22" s="735"/>
      <c r="AB22" s="736"/>
      <c r="AC22" s="737"/>
      <c r="AD22" s="734"/>
      <c r="AE22" s="735"/>
      <c r="AF22" s="736"/>
      <c r="AG22" s="735"/>
      <c r="AH22" s="736"/>
      <c r="AI22" s="737"/>
      <c r="AJ22" s="734"/>
      <c r="AK22" s="735"/>
      <c r="AL22" s="736"/>
      <c r="AM22" s="735"/>
      <c r="AN22" s="736"/>
      <c r="AO22" s="735"/>
      <c r="AP22" s="736"/>
      <c r="AQ22" s="735"/>
      <c r="AR22" s="736"/>
      <c r="AS22" s="735"/>
      <c r="AT22" s="736"/>
      <c r="AU22" s="735"/>
      <c r="AV22" s="736">
        <f t="shared" si="0"/>
        <v>0</v>
      </c>
      <c r="AW22" s="735">
        <f t="shared" si="0"/>
        <v>0</v>
      </c>
      <c r="AX22" s="736"/>
      <c r="AY22" s="735"/>
      <c r="AZ22" s="736">
        <f t="shared" si="1"/>
        <v>0</v>
      </c>
      <c r="BA22" s="737">
        <f t="shared" si="1"/>
        <v>0</v>
      </c>
    </row>
    <row r="23" spans="1:53" x14ac:dyDescent="0.3">
      <c r="A23" s="652" t="s">
        <v>284</v>
      </c>
      <c r="B23" s="738">
        <v>2533873</v>
      </c>
      <c r="C23" s="739">
        <v>2679841</v>
      </c>
      <c r="D23" s="736">
        <v>93411</v>
      </c>
      <c r="E23" s="735">
        <v>92873</v>
      </c>
      <c r="F23" s="736">
        <f>4962+314+286938+32226+31013</f>
        <v>355453</v>
      </c>
      <c r="G23" s="735">
        <f>4515+310+268168+29211+31740</f>
        <v>333944</v>
      </c>
      <c r="H23" s="736">
        <v>3126428</v>
      </c>
      <c r="I23" s="735">
        <v>3234132</v>
      </c>
      <c r="J23" s="736">
        <v>165551</v>
      </c>
      <c r="K23" s="735">
        <v>176194</v>
      </c>
      <c r="L23" s="736">
        <v>975060</v>
      </c>
      <c r="M23" s="737">
        <f>1043211</f>
        <v>1043211</v>
      </c>
      <c r="N23" s="736">
        <v>35869</v>
      </c>
      <c r="O23" s="737">
        <v>33733</v>
      </c>
      <c r="P23" s="734">
        <v>125946</v>
      </c>
      <c r="Q23" s="737">
        <v>146865</v>
      </c>
      <c r="R23" s="734">
        <v>176413</v>
      </c>
      <c r="S23" s="737"/>
      <c r="T23" s="734">
        <v>56131</v>
      </c>
      <c r="U23" s="737">
        <v>54774</v>
      </c>
      <c r="V23" s="734">
        <v>7763073</v>
      </c>
      <c r="W23" s="737">
        <v>7803149</v>
      </c>
      <c r="X23" s="734">
        <v>14125463</v>
      </c>
      <c r="Y23" s="735">
        <v>14083504</v>
      </c>
      <c r="Z23" s="736">
        <v>391292</v>
      </c>
      <c r="AA23" s="735">
        <v>390911</v>
      </c>
      <c r="AB23" s="736">
        <v>633523</v>
      </c>
      <c r="AC23" s="737">
        <v>727340</v>
      </c>
      <c r="AD23" s="734">
        <v>2153459</v>
      </c>
      <c r="AE23" s="735">
        <v>2255353</v>
      </c>
      <c r="AF23" s="736">
        <v>2863180</v>
      </c>
      <c r="AG23" s="735">
        <v>3051533</v>
      </c>
      <c r="AH23" s="736">
        <v>701217</v>
      </c>
      <c r="AI23" s="737">
        <v>718121</v>
      </c>
      <c r="AJ23" s="734">
        <v>623925</v>
      </c>
      <c r="AK23" s="735">
        <v>631143</v>
      </c>
      <c r="AL23" s="736"/>
      <c r="AM23" s="735"/>
      <c r="AN23" s="736">
        <v>12786684</v>
      </c>
      <c r="AO23" s="735">
        <v>15032774</v>
      </c>
      <c r="AP23" s="736">
        <v>47439</v>
      </c>
      <c r="AQ23" s="735">
        <v>41928</v>
      </c>
      <c r="AR23" s="736">
        <v>228934</v>
      </c>
      <c r="AS23" s="735"/>
      <c r="AT23" s="736">
        <v>1863797</v>
      </c>
      <c r="AU23" s="735">
        <v>2022927</v>
      </c>
      <c r="AV23" s="736">
        <f t="shared" si="0"/>
        <v>51826121</v>
      </c>
      <c r="AW23" s="735">
        <f t="shared" si="0"/>
        <v>54554250</v>
      </c>
      <c r="AX23" s="736">
        <v>2340410</v>
      </c>
      <c r="AY23" s="735">
        <v>2603048</v>
      </c>
      <c r="AZ23" s="736">
        <f t="shared" si="1"/>
        <v>54166531</v>
      </c>
      <c r="BA23" s="737">
        <f t="shared" si="1"/>
        <v>57157298</v>
      </c>
    </row>
    <row r="24" spans="1:53" x14ac:dyDescent="0.3">
      <c r="A24" s="285" t="s">
        <v>285</v>
      </c>
      <c r="B24" s="738">
        <v>370530</v>
      </c>
      <c r="C24" s="739">
        <v>280721</v>
      </c>
      <c r="D24" s="736"/>
      <c r="E24" s="735"/>
      <c r="F24" s="736"/>
      <c r="G24" s="735"/>
      <c r="H24" s="736"/>
      <c r="I24" s="735"/>
      <c r="J24" s="736"/>
      <c r="K24" s="735"/>
      <c r="L24" s="736">
        <v>243029</v>
      </c>
      <c r="M24" s="737">
        <v>189208</v>
      </c>
      <c r="N24" s="736"/>
      <c r="O24" s="737"/>
      <c r="P24" s="734">
        <v>23230</v>
      </c>
      <c r="Q24" s="737">
        <v>14624</v>
      </c>
      <c r="R24" s="734">
        <v>43328</v>
      </c>
      <c r="S24" s="737"/>
      <c r="T24" s="734"/>
      <c r="U24" s="737"/>
      <c r="V24" s="734"/>
      <c r="W24" s="737"/>
      <c r="X24" s="734"/>
      <c r="Y24" s="735"/>
      <c r="Z24" s="736"/>
      <c r="AA24" s="735"/>
      <c r="AB24" s="736"/>
      <c r="AC24" s="737"/>
      <c r="AD24" s="734"/>
      <c r="AE24" s="735"/>
      <c r="AF24" s="736"/>
      <c r="AG24" s="735"/>
      <c r="AH24" s="736"/>
      <c r="AI24" s="737"/>
      <c r="AJ24" s="734"/>
      <c r="AK24" s="735"/>
      <c r="AL24" s="736"/>
      <c r="AM24" s="735"/>
      <c r="AN24" s="736"/>
      <c r="AO24" s="735"/>
      <c r="AP24" s="736"/>
      <c r="AQ24" s="735"/>
      <c r="AR24" s="736">
        <v>16821</v>
      </c>
      <c r="AS24" s="735"/>
      <c r="AT24" s="736"/>
      <c r="AU24" s="735"/>
      <c r="AV24" s="736">
        <f t="shared" si="0"/>
        <v>696938</v>
      </c>
      <c r="AW24" s="735">
        <f t="shared" si="0"/>
        <v>484553</v>
      </c>
      <c r="AX24" s="736"/>
      <c r="AY24" s="735"/>
      <c r="AZ24" s="736">
        <f t="shared" si="1"/>
        <v>696938</v>
      </c>
      <c r="BA24" s="737">
        <f t="shared" si="1"/>
        <v>484553</v>
      </c>
    </row>
    <row r="25" spans="1:53" x14ac:dyDescent="0.3">
      <c r="A25" s="285" t="s">
        <v>286</v>
      </c>
      <c r="B25" s="738"/>
      <c r="C25" s="739"/>
      <c r="D25" s="736"/>
      <c r="E25" s="735"/>
      <c r="F25" s="736"/>
      <c r="G25" s="735"/>
      <c r="H25" s="736"/>
      <c r="I25" s="735"/>
      <c r="J25" s="736"/>
      <c r="K25" s="735"/>
      <c r="L25" s="736">
        <v>10230</v>
      </c>
      <c r="M25" s="737">
        <v>13888</v>
      </c>
      <c r="N25" s="736"/>
      <c r="O25" s="737"/>
      <c r="P25" s="734"/>
      <c r="Q25" s="737"/>
      <c r="R25" s="734">
        <v>835</v>
      </c>
      <c r="S25" s="737"/>
      <c r="T25" s="734"/>
      <c r="U25" s="737"/>
      <c r="V25" s="734"/>
      <c r="W25" s="737"/>
      <c r="X25" s="734"/>
      <c r="Y25" s="735"/>
      <c r="Z25" s="736"/>
      <c r="AA25" s="735"/>
      <c r="AB25" s="736"/>
      <c r="AC25" s="737"/>
      <c r="AD25" s="734"/>
      <c r="AE25" s="735"/>
      <c r="AF25" s="736"/>
      <c r="AG25" s="735"/>
      <c r="AH25" s="736"/>
      <c r="AI25" s="737"/>
      <c r="AJ25" s="734"/>
      <c r="AK25" s="735"/>
      <c r="AL25" s="736"/>
      <c r="AM25" s="735"/>
      <c r="AN25" s="736"/>
      <c r="AO25" s="735"/>
      <c r="AP25" s="736"/>
      <c r="AQ25" s="735"/>
      <c r="AR25" s="736"/>
      <c r="AS25" s="735"/>
      <c r="AT25" s="736"/>
      <c r="AU25" s="735"/>
      <c r="AV25" s="736">
        <f t="shared" si="0"/>
        <v>11065</v>
      </c>
      <c r="AW25" s="735">
        <f t="shared" si="0"/>
        <v>13888</v>
      </c>
      <c r="AX25" s="736"/>
      <c r="AY25" s="735"/>
      <c r="AZ25" s="736">
        <f t="shared" si="1"/>
        <v>11065</v>
      </c>
      <c r="BA25" s="737">
        <f t="shared" si="1"/>
        <v>13888</v>
      </c>
    </row>
    <row r="26" spans="1:53" x14ac:dyDescent="0.3">
      <c r="A26" s="652" t="s">
        <v>287</v>
      </c>
      <c r="B26" s="738">
        <v>120581</v>
      </c>
      <c r="C26" s="739">
        <v>143328</v>
      </c>
      <c r="D26" s="736">
        <f>15721+133</f>
        <v>15854</v>
      </c>
      <c r="E26" s="735">
        <f>10594+233</f>
        <v>10827</v>
      </c>
      <c r="F26" s="736">
        <v>17521</v>
      </c>
      <c r="G26" s="735">
        <v>17370</v>
      </c>
      <c r="H26" s="736"/>
      <c r="I26" s="735"/>
      <c r="J26" s="736">
        <v>3395</v>
      </c>
      <c r="K26" s="735">
        <v>6530</v>
      </c>
      <c r="L26" s="736">
        <v>70117</v>
      </c>
      <c r="M26" s="737">
        <v>67241</v>
      </c>
      <c r="N26" s="736">
        <v>6268</v>
      </c>
      <c r="O26" s="737">
        <v>4233</v>
      </c>
      <c r="P26" s="734">
        <v>19190</v>
      </c>
      <c r="Q26" s="737">
        <v>18914</v>
      </c>
      <c r="R26" s="734">
        <f>12545+3915</f>
        <v>16460</v>
      </c>
      <c r="S26" s="737"/>
      <c r="T26" s="734"/>
      <c r="U26" s="737"/>
      <c r="V26" s="734">
        <v>428134</v>
      </c>
      <c r="W26" s="737">
        <v>403086</v>
      </c>
      <c r="X26" s="734">
        <v>1092057</v>
      </c>
      <c r="Y26" s="735">
        <v>937055</v>
      </c>
      <c r="Z26" s="736">
        <v>22058</v>
      </c>
      <c r="AA26" s="735">
        <v>20141</v>
      </c>
      <c r="AB26" s="736">
        <v>44667</v>
      </c>
      <c r="AC26" s="737">
        <v>50117</v>
      </c>
      <c r="AD26" s="734">
        <v>67467</v>
      </c>
      <c r="AE26" s="735">
        <v>57570</v>
      </c>
      <c r="AF26" s="736">
        <v>378239</v>
      </c>
      <c r="AG26" s="735">
        <v>473923</v>
      </c>
      <c r="AH26" s="736">
        <v>87820</v>
      </c>
      <c r="AI26" s="737">
        <v>112330</v>
      </c>
      <c r="AJ26" s="734">
        <v>56118</v>
      </c>
      <c r="AK26" s="735">
        <v>78999</v>
      </c>
      <c r="AL26" s="736"/>
      <c r="AM26" s="735"/>
      <c r="AN26" s="736"/>
      <c r="AO26" s="735"/>
      <c r="AP26" s="736">
        <v>2230</v>
      </c>
      <c r="AQ26" s="735">
        <v>2371</v>
      </c>
      <c r="AR26" s="736"/>
      <c r="AS26" s="735"/>
      <c r="AT26" s="736"/>
      <c r="AU26" s="735"/>
      <c r="AV26" s="736">
        <f t="shared" si="0"/>
        <v>2448176</v>
      </c>
      <c r="AW26" s="735">
        <f t="shared" si="0"/>
        <v>2404035</v>
      </c>
      <c r="AX26" s="736">
        <v>5520</v>
      </c>
      <c r="AY26" s="735">
        <v>13019</v>
      </c>
      <c r="AZ26" s="736">
        <f t="shared" si="1"/>
        <v>2453696</v>
      </c>
      <c r="BA26" s="737">
        <f t="shared" si="1"/>
        <v>2417054</v>
      </c>
    </row>
    <row r="27" spans="1:53" x14ac:dyDescent="0.3">
      <c r="A27" s="285" t="s">
        <v>288</v>
      </c>
      <c r="B27" s="738"/>
      <c r="C27" s="739"/>
      <c r="D27" s="736"/>
      <c r="E27" s="735"/>
      <c r="F27" s="736"/>
      <c r="G27" s="735"/>
      <c r="H27" s="736"/>
      <c r="I27" s="735"/>
      <c r="J27" s="736"/>
      <c r="K27" s="735"/>
      <c r="L27" s="736"/>
      <c r="M27" s="737"/>
      <c r="N27" s="736"/>
      <c r="O27" s="737"/>
      <c r="P27" s="734"/>
      <c r="Q27" s="737"/>
      <c r="R27" s="734"/>
      <c r="S27" s="737"/>
      <c r="T27" s="734">
        <v>18130</v>
      </c>
      <c r="U27" s="737">
        <v>19394</v>
      </c>
      <c r="V27" s="734"/>
      <c r="W27" s="737"/>
      <c r="X27" s="734"/>
      <c r="Y27" s="735"/>
      <c r="Z27" s="736"/>
      <c r="AA27" s="735"/>
      <c r="AB27" s="736"/>
      <c r="AC27" s="737"/>
      <c r="AD27" s="734"/>
      <c r="AE27" s="735"/>
      <c r="AF27" s="736"/>
      <c r="AG27" s="735"/>
      <c r="AH27" s="736"/>
      <c r="AI27" s="737"/>
      <c r="AJ27" s="734"/>
      <c r="AK27" s="735"/>
      <c r="AL27" s="736"/>
      <c r="AM27" s="735"/>
      <c r="AN27" s="736">
        <v>816888</v>
      </c>
      <c r="AO27" s="735">
        <v>913987</v>
      </c>
      <c r="AP27" s="736"/>
      <c r="AQ27" s="735"/>
      <c r="AR27" s="736">
        <v>24854</v>
      </c>
      <c r="AS27" s="735"/>
      <c r="AT27" s="736">
        <v>123424</v>
      </c>
      <c r="AU27" s="735">
        <v>148454</v>
      </c>
      <c r="AV27" s="736">
        <f t="shared" si="0"/>
        <v>983296</v>
      </c>
      <c r="AW27" s="735">
        <f t="shared" si="0"/>
        <v>1081835</v>
      </c>
      <c r="AX27" s="736"/>
      <c r="AY27" s="735"/>
      <c r="AZ27" s="736">
        <f t="shared" si="1"/>
        <v>983296</v>
      </c>
      <c r="BA27" s="737">
        <f t="shared" si="1"/>
        <v>1081835</v>
      </c>
    </row>
    <row r="28" spans="1:53" x14ac:dyDescent="0.3">
      <c r="A28" s="285" t="s">
        <v>289</v>
      </c>
      <c r="B28" s="738"/>
      <c r="C28" s="739"/>
      <c r="D28" s="736"/>
      <c r="E28" s="735"/>
      <c r="F28" s="736"/>
      <c r="G28" s="735"/>
      <c r="H28" s="736"/>
      <c r="I28" s="735"/>
      <c r="J28" s="736"/>
      <c r="K28" s="735"/>
      <c r="L28" s="736">
        <v>1198</v>
      </c>
      <c r="M28" s="737">
        <v>1197</v>
      </c>
      <c r="N28" s="736"/>
      <c r="O28" s="737"/>
      <c r="P28" s="734"/>
      <c r="Q28" s="737"/>
      <c r="R28" s="734"/>
      <c r="S28" s="737"/>
      <c r="T28" s="734"/>
      <c r="U28" s="737"/>
      <c r="V28" s="734">
        <v>1961</v>
      </c>
      <c r="W28" s="737">
        <v>1574</v>
      </c>
      <c r="X28" s="734">
        <v>5661</v>
      </c>
      <c r="Y28" s="735">
        <v>3472</v>
      </c>
      <c r="Z28" s="736"/>
      <c r="AA28" s="735"/>
      <c r="AB28" s="736"/>
      <c r="AC28" s="737"/>
      <c r="AD28" s="734">
        <v>75</v>
      </c>
      <c r="AE28" s="735">
        <v>26</v>
      </c>
      <c r="AF28" s="736"/>
      <c r="AG28" s="735"/>
      <c r="AH28" s="736"/>
      <c r="AI28" s="737"/>
      <c r="AJ28" s="734"/>
      <c r="AK28" s="735"/>
      <c r="AL28" s="736"/>
      <c r="AM28" s="735"/>
      <c r="AN28" s="736">
        <v>12266</v>
      </c>
      <c r="AO28" s="735">
        <v>16145</v>
      </c>
      <c r="AP28" s="736"/>
      <c r="AQ28" s="735"/>
      <c r="AR28" s="736">
        <v>40</v>
      </c>
      <c r="AS28" s="735"/>
      <c r="AT28" s="736">
        <v>860</v>
      </c>
      <c r="AU28" s="735">
        <v>652</v>
      </c>
      <c r="AV28" s="736">
        <f t="shared" si="0"/>
        <v>22061</v>
      </c>
      <c r="AW28" s="735">
        <f t="shared" si="0"/>
        <v>23066</v>
      </c>
      <c r="AX28" s="736">
        <v>1689</v>
      </c>
      <c r="AY28" s="735">
        <v>1592</v>
      </c>
      <c r="AZ28" s="736">
        <f t="shared" si="1"/>
        <v>23750</v>
      </c>
      <c r="BA28" s="737">
        <f t="shared" si="1"/>
        <v>24658</v>
      </c>
    </row>
    <row r="29" spans="1:53" x14ac:dyDescent="0.3">
      <c r="A29" s="285" t="s">
        <v>290</v>
      </c>
      <c r="B29" s="738"/>
      <c r="C29" s="739"/>
      <c r="D29" s="736"/>
      <c r="E29" s="735"/>
      <c r="F29" s="736"/>
      <c r="G29" s="735"/>
      <c r="H29" s="736">
        <v>177598</v>
      </c>
      <c r="I29" s="735">
        <v>187963</v>
      </c>
      <c r="J29" s="736"/>
      <c r="K29" s="735"/>
      <c r="L29" s="736"/>
      <c r="M29" s="737"/>
      <c r="N29" s="736"/>
      <c r="O29" s="737"/>
      <c r="P29" s="734"/>
      <c r="Q29" s="737"/>
      <c r="R29" s="734"/>
      <c r="S29" s="737"/>
      <c r="T29" s="734"/>
      <c r="U29" s="737"/>
      <c r="V29" s="734"/>
      <c r="W29" s="737"/>
      <c r="X29" s="734"/>
      <c r="Y29" s="735"/>
      <c r="Z29" s="736"/>
      <c r="AA29" s="735"/>
      <c r="AB29" s="736"/>
      <c r="AC29" s="737"/>
      <c r="AD29" s="734"/>
      <c r="AE29" s="735"/>
      <c r="AF29" s="736"/>
      <c r="AG29" s="735"/>
      <c r="AH29" s="736"/>
      <c r="AI29" s="737"/>
      <c r="AJ29" s="734"/>
      <c r="AK29" s="735"/>
      <c r="AL29" s="736"/>
      <c r="AM29" s="735"/>
      <c r="AN29" s="736"/>
      <c r="AO29" s="735"/>
      <c r="AP29" s="736"/>
      <c r="AQ29" s="735"/>
      <c r="AR29" s="736"/>
      <c r="AS29" s="735"/>
      <c r="AT29" s="736"/>
      <c r="AU29" s="735"/>
      <c r="AV29" s="736">
        <f t="shared" si="0"/>
        <v>177598</v>
      </c>
      <c r="AW29" s="735">
        <f t="shared" si="0"/>
        <v>187963</v>
      </c>
      <c r="AX29" s="736"/>
      <c r="AY29" s="735"/>
      <c r="AZ29" s="736">
        <f t="shared" si="1"/>
        <v>177598</v>
      </c>
      <c r="BA29" s="737">
        <f t="shared" si="1"/>
        <v>187963</v>
      </c>
    </row>
    <row r="30" spans="1:53" x14ac:dyDescent="0.3">
      <c r="A30" s="285" t="s">
        <v>291</v>
      </c>
      <c r="B30" s="738"/>
      <c r="C30" s="739"/>
      <c r="D30" s="736"/>
      <c r="E30" s="735"/>
      <c r="F30" s="736"/>
      <c r="G30" s="735"/>
      <c r="H30" s="736"/>
      <c r="I30" s="735"/>
      <c r="J30" s="736"/>
      <c r="K30" s="735"/>
      <c r="L30" s="736"/>
      <c r="M30" s="737"/>
      <c r="N30" s="736"/>
      <c r="O30" s="737"/>
      <c r="P30" s="734"/>
      <c r="Q30" s="737"/>
      <c r="R30" s="734"/>
      <c r="S30" s="737"/>
      <c r="T30" s="734"/>
      <c r="U30" s="737"/>
      <c r="V30" s="734"/>
      <c r="W30" s="737"/>
      <c r="X30" s="734"/>
      <c r="Y30" s="735"/>
      <c r="Z30" s="736"/>
      <c r="AA30" s="735"/>
      <c r="AB30" s="736"/>
      <c r="AC30" s="737"/>
      <c r="AD30" s="734"/>
      <c r="AE30" s="735"/>
      <c r="AF30" s="736"/>
      <c r="AG30" s="735"/>
      <c r="AH30" s="736"/>
      <c r="AI30" s="737"/>
      <c r="AJ30" s="734"/>
      <c r="AK30" s="735"/>
      <c r="AL30" s="736"/>
      <c r="AM30" s="735"/>
      <c r="AN30" s="736"/>
      <c r="AO30" s="735"/>
      <c r="AP30" s="736"/>
      <c r="AQ30" s="735"/>
      <c r="AR30" s="736"/>
      <c r="AS30" s="735"/>
      <c r="AT30" s="736"/>
      <c r="AU30" s="735"/>
      <c r="AV30" s="736">
        <f t="shared" si="0"/>
        <v>0</v>
      </c>
      <c r="AW30" s="735">
        <f t="shared" si="0"/>
        <v>0</v>
      </c>
      <c r="AX30" s="736"/>
      <c r="AY30" s="735"/>
      <c r="AZ30" s="736">
        <f t="shared" si="1"/>
        <v>0</v>
      </c>
      <c r="BA30" s="737">
        <f t="shared" si="1"/>
        <v>0</v>
      </c>
    </row>
    <row r="31" spans="1:53" x14ac:dyDescent="0.3">
      <c r="A31" s="652" t="s">
        <v>292</v>
      </c>
      <c r="B31" s="738"/>
      <c r="C31" s="739"/>
      <c r="D31" s="736"/>
      <c r="E31" s="735"/>
      <c r="F31" s="736"/>
      <c r="G31" s="735"/>
      <c r="H31" s="736">
        <v>115215</v>
      </c>
      <c r="I31" s="735">
        <v>120870</v>
      </c>
      <c r="J31" s="736">
        <v>14180</v>
      </c>
      <c r="K31" s="735">
        <v>16809</v>
      </c>
      <c r="L31" s="736">
        <v>54552</v>
      </c>
      <c r="M31" s="737">
        <v>66870</v>
      </c>
      <c r="N31" s="736">
        <v>2994</v>
      </c>
      <c r="O31" s="737">
        <v>5378</v>
      </c>
      <c r="P31" s="734">
        <v>795</v>
      </c>
      <c r="Q31" s="737">
        <v>1122</v>
      </c>
      <c r="R31" s="734">
        <f>39394+2331</f>
        <v>41725</v>
      </c>
      <c r="S31" s="737"/>
      <c r="T31" s="734"/>
      <c r="U31" s="737"/>
      <c r="V31" s="734">
        <v>88857</v>
      </c>
      <c r="W31" s="737">
        <v>124744</v>
      </c>
      <c r="X31" s="734">
        <v>130734</v>
      </c>
      <c r="Y31" s="735">
        <v>163224</v>
      </c>
      <c r="Z31" s="736">
        <f>36+8772+12917</f>
        <v>21725</v>
      </c>
      <c r="AA31" s="735">
        <f>16+5677+17084</f>
        <v>22777</v>
      </c>
      <c r="AB31" s="736">
        <v>28830</v>
      </c>
      <c r="AC31" s="737">
        <v>30887</v>
      </c>
      <c r="AD31" s="734">
        <v>29469</v>
      </c>
      <c r="AE31" s="735">
        <v>33873</v>
      </c>
      <c r="AF31" s="736">
        <v>319404</v>
      </c>
      <c r="AG31" s="735">
        <v>355102</v>
      </c>
      <c r="AH31" s="736">
        <v>83769</v>
      </c>
      <c r="AI31" s="737">
        <v>84971</v>
      </c>
      <c r="AJ31" s="734">
        <v>38586</v>
      </c>
      <c r="AK31" s="735">
        <v>41454</v>
      </c>
      <c r="AL31" s="736"/>
      <c r="AM31" s="735"/>
      <c r="AN31" s="736">
        <v>118643</v>
      </c>
      <c r="AO31" s="735">
        <v>150326</v>
      </c>
      <c r="AP31" s="736">
        <f>395+98+3263</f>
        <v>3756</v>
      </c>
      <c r="AQ31" s="735">
        <f>165+7542+2455</f>
        <v>10162</v>
      </c>
      <c r="AR31" s="736">
        <v>25097</v>
      </c>
      <c r="AS31" s="735"/>
      <c r="AT31" s="736"/>
      <c r="AU31" s="735"/>
      <c r="AV31" s="736">
        <f t="shared" si="0"/>
        <v>1118331</v>
      </c>
      <c r="AW31" s="735">
        <f t="shared" si="0"/>
        <v>1228569</v>
      </c>
      <c r="AX31" s="736"/>
      <c r="AY31" s="735"/>
      <c r="AZ31" s="736">
        <f t="shared" si="1"/>
        <v>1118331</v>
      </c>
      <c r="BA31" s="737">
        <f t="shared" si="1"/>
        <v>1228569</v>
      </c>
    </row>
    <row r="32" spans="1:53" x14ac:dyDescent="0.3">
      <c r="A32" s="285" t="s">
        <v>219</v>
      </c>
      <c r="B32" s="738"/>
      <c r="C32" s="739"/>
      <c r="D32" s="736"/>
      <c r="E32" s="735"/>
      <c r="F32" s="736"/>
      <c r="G32" s="735"/>
      <c r="H32" s="736"/>
      <c r="I32" s="735"/>
      <c r="J32" s="736"/>
      <c r="K32" s="735"/>
      <c r="L32" s="736"/>
      <c r="M32" s="737"/>
      <c r="N32" s="736"/>
      <c r="O32" s="737"/>
      <c r="P32" s="734"/>
      <c r="Q32" s="737"/>
      <c r="R32" s="734"/>
      <c r="S32" s="737"/>
      <c r="T32" s="734"/>
      <c r="U32" s="737"/>
      <c r="V32" s="734"/>
      <c r="W32" s="737"/>
      <c r="X32" s="734"/>
      <c r="Y32" s="735"/>
      <c r="Z32" s="736"/>
      <c r="AA32" s="735"/>
      <c r="AB32" s="736"/>
      <c r="AC32" s="737"/>
      <c r="AD32" s="734"/>
      <c r="AE32" s="735"/>
      <c r="AF32" s="736"/>
      <c r="AG32" s="735"/>
      <c r="AH32" s="736"/>
      <c r="AI32" s="737"/>
      <c r="AJ32" s="734"/>
      <c r="AK32" s="735"/>
      <c r="AL32" s="736"/>
      <c r="AM32" s="735"/>
      <c r="AN32" s="736"/>
      <c r="AO32" s="735"/>
      <c r="AP32" s="736"/>
      <c r="AQ32" s="735"/>
      <c r="AR32" s="736"/>
      <c r="AS32" s="735"/>
      <c r="AT32" s="736"/>
      <c r="AU32" s="735"/>
      <c r="AV32" s="736">
        <f t="shared" si="0"/>
        <v>0</v>
      </c>
      <c r="AW32" s="735">
        <f t="shared" si="0"/>
        <v>0</v>
      </c>
      <c r="AX32" s="736"/>
      <c r="AY32" s="735"/>
      <c r="AZ32" s="736">
        <f t="shared" si="1"/>
        <v>0</v>
      </c>
      <c r="BA32" s="737">
        <f t="shared" si="1"/>
        <v>0</v>
      </c>
    </row>
    <row r="33" spans="1:53" x14ac:dyDescent="0.3">
      <c r="A33" s="285" t="s">
        <v>280</v>
      </c>
      <c r="B33" s="738"/>
      <c r="C33" s="739"/>
      <c r="D33" s="736">
        <v>22597</v>
      </c>
      <c r="E33" s="735">
        <v>23999</v>
      </c>
      <c r="F33" s="736"/>
      <c r="G33" s="735"/>
      <c r="H33" s="736"/>
      <c r="I33" s="735"/>
      <c r="J33" s="736"/>
      <c r="K33" s="735"/>
      <c r="L33" s="736"/>
      <c r="M33" s="737"/>
      <c r="N33" s="736"/>
      <c r="O33" s="737"/>
      <c r="P33" s="734"/>
      <c r="Q33" s="737"/>
      <c r="R33" s="734"/>
      <c r="S33" s="737"/>
      <c r="T33" s="734">
        <v>28270</v>
      </c>
      <c r="U33" s="737">
        <v>32853</v>
      </c>
      <c r="V33" s="734"/>
      <c r="W33" s="737"/>
      <c r="X33" s="734"/>
      <c r="Y33" s="735"/>
      <c r="Z33" s="736"/>
      <c r="AA33" s="735"/>
      <c r="AB33" s="736"/>
      <c r="AC33" s="737"/>
      <c r="AD33" s="734"/>
      <c r="AE33" s="735"/>
      <c r="AF33" s="736"/>
      <c r="AG33" s="735"/>
      <c r="AH33" s="736"/>
      <c r="AI33" s="737"/>
      <c r="AJ33" s="734"/>
      <c r="AK33" s="735"/>
      <c r="AL33" s="736"/>
      <c r="AM33" s="735"/>
      <c r="AN33" s="736"/>
      <c r="AO33" s="735"/>
      <c r="AP33" s="736"/>
      <c r="AQ33" s="735"/>
      <c r="AR33" s="736"/>
      <c r="AS33" s="735"/>
      <c r="AT33" s="736">
        <f>17446+104157</f>
        <v>121603</v>
      </c>
      <c r="AU33" s="735">
        <f>43606+101653</f>
        <v>145259</v>
      </c>
      <c r="AV33" s="736">
        <f t="shared" si="0"/>
        <v>172470</v>
      </c>
      <c r="AW33" s="735">
        <f t="shared" si="0"/>
        <v>202111</v>
      </c>
      <c r="AX33" s="736"/>
      <c r="AY33" s="735"/>
      <c r="AZ33" s="736">
        <f t="shared" si="1"/>
        <v>172470</v>
      </c>
      <c r="BA33" s="737">
        <f t="shared" si="1"/>
        <v>202111</v>
      </c>
    </row>
    <row r="34" spans="1:53" x14ac:dyDescent="0.3">
      <c r="A34" s="285" t="s">
        <v>74</v>
      </c>
      <c r="B34" s="738"/>
      <c r="C34" s="739"/>
      <c r="D34" s="736"/>
      <c r="E34" s="735"/>
      <c r="F34" s="736">
        <v>8874</v>
      </c>
      <c r="G34" s="735">
        <v>9282</v>
      </c>
      <c r="H34" s="736"/>
      <c r="I34" s="735"/>
      <c r="J34" s="736"/>
      <c r="K34" s="735"/>
      <c r="L34" s="736"/>
      <c r="M34" s="737"/>
      <c r="N34" s="736"/>
      <c r="O34" s="737"/>
      <c r="P34" s="734">
        <v>59</v>
      </c>
      <c r="Q34" s="737">
        <v>269</v>
      </c>
      <c r="R34" s="734"/>
      <c r="S34" s="737"/>
      <c r="T34" s="734"/>
      <c r="U34" s="737"/>
      <c r="V34" s="734"/>
      <c r="W34" s="737"/>
      <c r="X34" s="734">
        <v>1</v>
      </c>
      <c r="Y34" s="735"/>
      <c r="Z34" s="736"/>
      <c r="AA34" s="735"/>
      <c r="AB34" s="736"/>
      <c r="AC34" s="737"/>
      <c r="AD34" s="734">
        <v>12418</v>
      </c>
      <c r="AE34" s="735"/>
      <c r="AF34" s="736"/>
      <c r="AG34" s="748"/>
      <c r="AH34" s="736"/>
      <c r="AI34" s="737"/>
      <c r="AJ34" s="734">
        <v>2760</v>
      </c>
      <c r="AK34" s="735">
        <v>1955</v>
      </c>
      <c r="AL34" s="736"/>
      <c r="AM34" s="735"/>
      <c r="AN34" s="736"/>
      <c r="AO34" s="735"/>
      <c r="AP34" s="736"/>
      <c r="AQ34" s="735"/>
      <c r="AR34" s="736">
        <v>3855</v>
      </c>
      <c r="AS34" s="735"/>
      <c r="AT34" s="736"/>
      <c r="AU34" s="735"/>
      <c r="AV34" s="736">
        <f t="shared" si="0"/>
        <v>27967</v>
      </c>
      <c r="AW34" s="735">
        <f t="shared" si="0"/>
        <v>11506</v>
      </c>
      <c r="AX34" s="736">
        <v>110700</v>
      </c>
      <c r="AY34" s="735">
        <v>1082130</v>
      </c>
      <c r="AZ34" s="736">
        <f t="shared" si="1"/>
        <v>138667</v>
      </c>
      <c r="BA34" s="737">
        <f t="shared" si="1"/>
        <v>1093636</v>
      </c>
    </row>
    <row r="35" spans="1:53" s="57" customFormat="1" ht="13.5" x14ac:dyDescent="0.25">
      <c r="A35" s="652" t="s">
        <v>293</v>
      </c>
      <c r="B35" s="741">
        <v>5961904</v>
      </c>
      <c r="C35" s="742">
        <v>6878759</v>
      </c>
      <c r="D35" s="745">
        <v>587730</v>
      </c>
      <c r="E35" s="748">
        <v>655642</v>
      </c>
      <c r="F35" s="745">
        <v>1289777</v>
      </c>
      <c r="G35" s="748">
        <v>1359606</v>
      </c>
      <c r="H35" s="745">
        <v>8390692</v>
      </c>
      <c r="I35" s="748">
        <v>8994762</v>
      </c>
      <c r="J35" s="745">
        <v>1389472</v>
      </c>
      <c r="K35" s="748">
        <v>1609967</v>
      </c>
      <c r="L35" s="745">
        <v>2543527</v>
      </c>
      <c r="M35" s="746">
        <v>2951049</v>
      </c>
      <c r="N35" s="745">
        <v>647787</v>
      </c>
      <c r="O35" s="746">
        <v>730045</v>
      </c>
      <c r="P35" s="747">
        <v>729798</v>
      </c>
      <c r="Q35" s="746">
        <v>863397</v>
      </c>
      <c r="R35" s="747">
        <v>2077451</v>
      </c>
      <c r="S35" s="746"/>
      <c r="T35" s="747">
        <v>780740</v>
      </c>
      <c r="U35" s="746">
        <v>926578</v>
      </c>
      <c r="V35" s="747">
        <v>19500380</v>
      </c>
      <c r="W35" s="746">
        <v>23459572</v>
      </c>
      <c r="X35" s="747">
        <v>23672454</v>
      </c>
      <c r="Y35" s="748">
        <v>25126458</v>
      </c>
      <c r="Z35" s="745">
        <v>1370278</v>
      </c>
      <c r="AA35" s="748">
        <v>1504959</v>
      </c>
      <c r="AB35" s="745">
        <v>1828513</v>
      </c>
      <c r="AC35" s="746">
        <v>2161138</v>
      </c>
      <c r="AD35" s="747">
        <v>5214313</v>
      </c>
      <c r="AE35" s="748">
        <v>6049136</v>
      </c>
      <c r="AF35" s="745">
        <v>10336871</v>
      </c>
      <c r="AG35" s="748">
        <v>11964332</v>
      </c>
      <c r="AH35" s="745">
        <v>3321769</v>
      </c>
      <c r="AI35" s="746">
        <v>3898611</v>
      </c>
      <c r="AJ35" s="747">
        <v>2726311</v>
      </c>
      <c r="AK35" s="748">
        <v>3029217</v>
      </c>
      <c r="AL35" s="745"/>
      <c r="AM35" s="748"/>
      <c r="AN35" s="745">
        <v>25728783</v>
      </c>
      <c r="AO35" s="748">
        <v>30075651</v>
      </c>
      <c r="AP35" s="745">
        <v>740411</v>
      </c>
      <c r="AQ35" s="748">
        <v>899549</v>
      </c>
      <c r="AR35" s="745">
        <v>1431356</v>
      </c>
      <c r="AS35" s="748">
        <v>113581199</v>
      </c>
      <c r="AT35" s="745">
        <v>5557033</v>
      </c>
      <c r="AU35" s="748">
        <v>6675998</v>
      </c>
      <c r="AV35" s="745">
        <f t="shared" si="0"/>
        <v>125827350</v>
      </c>
      <c r="AW35" s="748">
        <f t="shared" si="0"/>
        <v>253395625</v>
      </c>
      <c r="AX35" s="745">
        <v>406086440</v>
      </c>
      <c r="AY35" s="748">
        <v>450185822</v>
      </c>
      <c r="AZ35" s="745">
        <f t="shared" si="1"/>
        <v>531913790</v>
      </c>
      <c r="BA35" s="746">
        <f t="shared" si="1"/>
        <v>703581447</v>
      </c>
    </row>
    <row r="36" spans="1:53" x14ac:dyDescent="0.3">
      <c r="A36" s="652" t="s">
        <v>294</v>
      </c>
      <c r="B36" s="738"/>
      <c r="C36" s="739"/>
      <c r="D36" s="736"/>
      <c r="E36" s="735"/>
      <c r="F36" s="736"/>
      <c r="G36" s="735"/>
      <c r="H36" s="736"/>
      <c r="I36" s="735"/>
      <c r="J36" s="736"/>
      <c r="K36" s="735"/>
      <c r="L36" s="736"/>
      <c r="M36" s="737"/>
      <c r="N36" s="736"/>
      <c r="O36" s="737"/>
      <c r="P36" s="734"/>
      <c r="Q36" s="737"/>
      <c r="R36" s="734"/>
      <c r="S36" s="737"/>
      <c r="T36" s="734"/>
      <c r="U36" s="737"/>
      <c r="V36" s="734"/>
      <c r="W36" s="737"/>
      <c r="X36" s="734"/>
      <c r="Y36" s="735"/>
      <c r="Z36" s="736"/>
      <c r="AA36" s="735"/>
      <c r="AB36" s="736"/>
      <c r="AC36" s="737"/>
      <c r="AD36" s="734"/>
      <c r="AE36" s="735"/>
      <c r="AF36" s="736"/>
      <c r="AG36" s="735"/>
      <c r="AH36" s="736"/>
      <c r="AI36" s="737"/>
      <c r="AJ36" s="734"/>
      <c r="AK36" s="735"/>
      <c r="AL36" s="736"/>
      <c r="AM36" s="735"/>
      <c r="AN36" s="736"/>
      <c r="AO36" s="735"/>
      <c r="AP36" s="736"/>
      <c r="AQ36" s="735"/>
      <c r="AR36" s="736"/>
      <c r="AS36" s="735"/>
      <c r="AT36" s="736"/>
      <c r="AU36" s="735"/>
      <c r="AV36" s="736">
        <f t="shared" si="0"/>
        <v>0</v>
      </c>
      <c r="AW36" s="735">
        <f t="shared" si="0"/>
        <v>0</v>
      </c>
      <c r="AX36" s="736"/>
      <c r="AY36" s="735"/>
      <c r="AZ36" s="736">
        <f t="shared" si="1"/>
        <v>0</v>
      </c>
      <c r="BA36" s="737">
        <f t="shared" si="1"/>
        <v>0</v>
      </c>
    </row>
    <row r="37" spans="1:53" x14ac:dyDescent="0.3">
      <c r="A37" s="652" t="s">
        <v>295</v>
      </c>
      <c r="B37" s="738"/>
      <c r="C37" s="739"/>
      <c r="D37" s="736"/>
      <c r="E37" s="735"/>
      <c r="F37" s="736"/>
      <c r="G37" s="735"/>
      <c r="H37" s="736"/>
      <c r="I37" s="735"/>
      <c r="J37" s="736"/>
      <c r="K37" s="735"/>
      <c r="L37" s="736"/>
      <c r="M37" s="737"/>
      <c r="N37" s="736"/>
      <c r="O37" s="737"/>
      <c r="P37" s="734"/>
      <c r="Q37" s="737"/>
      <c r="R37" s="734"/>
      <c r="S37" s="737"/>
      <c r="T37" s="734"/>
      <c r="U37" s="737"/>
      <c r="V37" s="734"/>
      <c r="W37" s="737"/>
      <c r="X37" s="734"/>
      <c r="Y37" s="735"/>
      <c r="Z37" s="736"/>
      <c r="AA37" s="735"/>
      <c r="AB37" s="736"/>
      <c r="AC37" s="737"/>
      <c r="AD37" s="734"/>
      <c r="AE37" s="735"/>
      <c r="AF37" s="736"/>
      <c r="AG37" s="735"/>
      <c r="AH37" s="736"/>
      <c r="AI37" s="737"/>
      <c r="AJ37" s="734"/>
      <c r="AK37" s="735"/>
      <c r="AL37" s="736"/>
      <c r="AM37" s="735"/>
      <c r="AN37" s="736"/>
      <c r="AO37" s="735"/>
      <c r="AP37" s="736"/>
      <c r="AQ37" s="735"/>
      <c r="AR37" s="736"/>
      <c r="AS37" s="735"/>
      <c r="AT37" s="736"/>
      <c r="AU37" s="735"/>
      <c r="AV37" s="736">
        <f t="shared" si="0"/>
        <v>0</v>
      </c>
      <c r="AW37" s="735">
        <f t="shared" si="0"/>
        <v>0</v>
      </c>
      <c r="AX37" s="736"/>
      <c r="AY37" s="735"/>
      <c r="AZ37" s="736">
        <f t="shared" si="1"/>
        <v>0</v>
      </c>
      <c r="BA37" s="737">
        <f t="shared" si="1"/>
        <v>0</v>
      </c>
    </row>
    <row r="38" spans="1:53" x14ac:dyDescent="0.3">
      <c r="A38" s="285" t="s">
        <v>296</v>
      </c>
      <c r="B38" s="738">
        <v>292875</v>
      </c>
      <c r="C38" s="739">
        <v>331410</v>
      </c>
      <c r="D38" s="736">
        <v>1890</v>
      </c>
      <c r="E38" s="735">
        <v>13419</v>
      </c>
      <c r="F38" s="736">
        <v>59886</v>
      </c>
      <c r="G38" s="735">
        <v>53593</v>
      </c>
      <c r="H38" s="736">
        <v>1073123</v>
      </c>
      <c r="I38" s="735">
        <v>1064777</v>
      </c>
      <c r="J38" s="736">
        <v>58675</v>
      </c>
      <c r="K38" s="735">
        <v>56709</v>
      </c>
      <c r="L38" s="736">
        <v>123895</v>
      </c>
      <c r="M38" s="737">
        <v>135485</v>
      </c>
      <c r="N38" s="736">
        <v>77156</v>
      </c>
      <c r="O38" s="737">
        <v>82273</v>
      </c>
      <c r="P38" s="734">
        <v>23596</v>
      </c>
      <c r="Q38" s="737">
        <v>45881</v>
      </c>
      <c r="R38" s="734">
        <v>119496</v>
      </c>
      <c r="S38" s="737"/>
      <c r="T38" s="734">
        <v>7040</v>
      </c>
      <c r="U38" s="737">
        <v>31841</v>
      </c>
      <c r="V38" s="734">
        <v>897778</v>
      </c>
      <c r="W38" s="737">
        <v>1293250</v>
      </c>
      <c r="X38" s="734">
        <v>934254</v>
      </c>
      <c r="Y38" s="735">
        <v>1030839</v>
      </c>
      <c r="Z38" s="736">
        <v>68497</v>
      </c>
      <c r="AA38" s="735">
        <v>76545</v>
      </c>
      <c r="AB38" s="736">
        <v>50481</v>
      </c>
      <c r="AC38" s="737">
        <v>84822</v>
      </c>
      <c r="AD38" s="734">
        <v>375322</v>
      </c>
      <c r="AE38" s="735">
        <v>480236</v>
      </c>
      <c r="AF38" s="736">
        <v>415428</v>
      </c>
      <c r="AG38" s="735">
        <v>496903</v>
      </c>
      <c r="AH38" s="736">
        <v>129114</v>
      </c>
      <c r="AI38" s="737">
        <v>178908</v>
      </c>
      <c r="AJ38" s="734">
        <v>128282</v>
      </c>
      <c r="AK38" s="735">
        <v>14617</v>
      </c>
      <c r="AL38" s="736"/>
      <c r="AM38" s="735"/>
      <c r="AN38" s="736">
        <v>1103019</v>
      </c>
      <c r="AO38" s="735">
        <v>1133271</v>
      </c>
      <c r="AP38" s="736">
        <v>72453</v>
      </c>
      <c r="AQ38" s="735">
        <v>75015</v>
      </c>
      <c r="AR38" s="736">
        <v>70642</v>
      </c>
      <c r="AS38" s="735"/>
      <c r="AT38" s="736">
        <v>220508</v>
      </c>
      <c r="AU38" s="735">
        <v>229997</v>
      </c>
      <c r="AV38" s="736">
        <f t="shared" si="0"/>
        <v>6303410</v>
      </c>
      <c r="AW38" s="735">
        <f t="shared" si="0"/>
        <v>6909791</v>
      </c>
      <c r="AX38" s="736">
        <v>636479</v>
      </c>
      <c r="AY38" s="735">
        <v>2379177</v>
      </c>
      <c r="AZ38" s="736">
        <f t="shared" si="1"/>
        <v>6939889</v>
      </c>
      <c r="BA38" s="737">
        <f t="shared" si="1"/>
        <v>9288968</v>
      </c>
    </row>
    <row r="39" spans="1:53" x14ac:dyDescent="0.3">
      <c r="A39" s="285" t="s">
        <v>297</v>
      </c>
      <c r="B39" s="738">
        <v>2593556</v>
      </c>
      <c r="C39" s="739">
        <v>3363586</v>
      </c>
      <c r="D39" s="736">
        <v>227205</v>
      </c>
      <c r="E39" s="735">
        <v>265177</v>
      </c>
      <c r="F39" s="736">
        <v>7031286</v>
      </c>
      <c r="G39" s="735">
        <v>790266</v>
      </c>
      <c r="H39" s="736">
        <v>3917061</v>
      </c>
      <c r="I39" s="735">
        <v>4435388</v>
      </c>
      <c r="J39" s="736">
        <v>820598</v>
      </c>
      <c r="K39" s="735">
        <v>1009870</v>
      </c>
      <c r="L39" s="736">
        <v>1100512</v>
      </c>
      <c r="M39" s="737">
        <v>1482716</v>
      </c>
      <c r="N39" s="736">
        <v>483019</v>
      </c>
      <c r="O39" s="737">
        <v>569670</v>
      </c>
      <c r="P39" s="734">
        <v>318680</v>
      </c>
      <c r="Q39" s="737">
        <v>408526</v>
      </c>
      <c r="R39" s="734">
        <v>1572426</v>
      </c>
      <c r="S39" s="737"/>
      <c r="T39" s="734">
        <v>480050</v>
      </c>
      <c r="U39" s="737">
        <v>579981</v>
      </c>
      <c r="V39" s="734">
        <v>10382834</v>
      </c>
      <c r="W39" s="737">
        <v>13882887</v>
      </c>
      <c r="X39" s="734">
        <v>7401097</v>
      </c>
      <c r="Y39" s="735">
        <v>8843437</v>
      </c>
      <c r="Z39" s="736">
        <v>821479</v>
      </c>
      <c r="AA39" s="735">
        <v>961445</v>
      </c>
      <c r="AB39" s="736">
        <v>1042639</v>
      </c>
      <c r="AC39" s="737">
        <v>1227463</v>
      </c>
      <c r="AD39" s="734">
        <v>2693683</v>
      </c>
      <c r="AE39" s="735">
        <v>3341723</v>
      </c>
      <c r="AF39" s="736">
        <v>6590284</v>
      </c>
      <c r="AG39" s="735">
        <v>7817623</v>
      </c>
      <c r="AH39" s="736">
        <v>2297882</v>
      </c>
      <c r="AI39" s="737">
        <v>2803538</v>
      </c>
      <c r="AJ39" s="734">
        <v>1873830</v>
      </c>
      <c r="AK39" s="735">
        <v>2144973</v>
      </c>
      <c r="AL39" s="736"/>
      <c r="AM39" s="735"/>
      <c r="AN39" s="736">
        <v>10815839</v>
      </c>
      <c r="AO39" s="735">
        <v>12612483</v>
      </c>
      <c r="AP39" s="736">
        <v>586307</v>
      </c>
      <c r="AQ39" s="735">
        <v>737998</v>
      </c>
      <c r="AR39" s="736">
        <v>1054561</v>
      </c>
      <c r="AS39" s="735"/>
      <c r="AT39" s="736">
        <v>3321436</v>
      </c>
      <c r="AU39" s="735">
        <v>4275676</v>
      </c>
      <c r="AV39" s="736">
        <f t="shared" si="0"/>
        <v>67426264</v>
      </c>
      <c r="AW39" s="735">
        <f t="shared" si="0"/>
        <v>71554426</v>
      </c>
      <c r="AX39" s="736">
        <v>382977428</v>
      </c>
      <c r="AY39" s="735">
        <v>422805047</v>
      </c>
      <c r="AZ39" s="736">
        <f t="shared" si="1"/>
        <v>450403692</v>
      </c>
      <c r="BA39" s="737">
        <f t="shared" si="1"/>
        <v>494359473</v>
      </c>
    </row>
    <row r="40" spans="1:53" x14ac:dyDescent="0.3">
      <c r="A40" s="285" t="s">
        <v>298</v>
      </c>
      <c r="B40" s="738">
        <v>3024984</v>
      </c>
      <c r="C40" s="739">
        <v>3103890</v>
      </c>
      <c r="D40" s="736">
        <v>109264</v>
      </c>
      <c r="E40" s="735">
        <v>103700</v>
      </c>
      <c r="F40" s="736">
        <v>381456</v>
      </c>
      <c r="G40" s="735">
        <v>360191</v>
      </c>
      <c r="H40" s="736">
        <v>3304025</v>
      </c>
      <c r="I40" s="735">
        <v>3422095</v>
      </c>
      <c r="J40" s="736">
        <v>168946</v>
      </c>
      <c r="K40" s="735">
        <v>182724</v>
      </c>
      <c r="L40" s="736">
        <v>1299634</v>
      </c>
      <c r="M40" s="737">
        <v>1314745</v>
      </c>
      <c r="N40" s="736">
        <v>42136</v>
      </c>
      <c r="O40" s="737">
        <v>37964</v>
      </c>
      <c r="P40" s="734">
        <v>168366</v>
      </c>
      <c r="Q40" s="737">
        <v>180403</v>
      </c>
      <c r="R40" s="734">
        <v>232287</v>
      </c>
      <c r="S40" s="737"/>
      <c r="T40" s="734">
        <v>74261</v>
      </c>
      <c r="U40" s="737">
        <v>74168</v>
      </c>
      <c r="V40" s="734">
        <v>8193168</v>
      </c>
      <c r="W40" s="737">
        <v>8207809</v>
      </c>
      <c r="X40" s="734">
        <v>15223181</v>
      </c>
      <c r="Y40" s="735">
        <v>15024030</v>
      </c>
      <c r="Z40" s="736">
        <v>413352</v>
      </c>
      <c r="AA40" s="735">
        <v>411051</v>
      </c>
      <c r="AB40" s="736">
        <v>678191</v>
      </c>
      <c r="AC40" s="737">
        <v>777457</v>
      </c>
      <c r="AD40" s="734">
        <v>2221001</v>
      </c>
      <c r="AE40" s="735">
        <v>2312951</v>
      </c>
      <c r="AF40" s="736">
        <v>3241419</v>
      </c>
      <c r="AG40" s="735">
        <v>3525456</v>
      </c>
      <c r="AH40" s="736">
        <v>789037</v>
      </c>
      <c r="AI40" s="737">
        <v>830451</v>
      </c>
      <c r="AJ40" s="734">
        <v>680043</v>
      </c>
      <c r="AK40" s="735">
        <v>710142</v>
      </c>
      <c r="AL40" s="736"/>
      <c r="AM40" s="735"/>
      <c r="AN40" s="736">
        <v>13615839</v>
      </c>
      <c r="AO40" s="735">
        <v>15962906</v>
      </c>
      <c r="AP40" s="736">
        <v>49670</v>
      </c>
      <c r="AQ40" s="735">
        <v>44299</v>
      </c>
      <c r="AR40" s="736">
        <v>270648</v>
      </c>
      <c r="AS40" s="735"/>
      <c r="AT40" s="736">
        <v>1988082</v>
      </c>
      <c r="AU40" s="735">
        <v>2172033</v>
      </c>
      <c r="AV40" s="736">
        <f t="shared" si="0"/>
        <v>56168990</v>
      </c>
      <c r="AW40" s="735">
        <f t="shared" si="0"/>
        <v>58758465</v>
      </c>
      <c r="AX40" s="736">
        <v>2344704</v>
      </c>
      <c r="AY40" s="735">
        <v>2614924</v>
      </c>
      <c r="AZ40" s="736">
        <f t="shared" si="1"/>
        <v>58513694</v>
      </c>
      <c r="BA40" s="737">
        <f t="shared" si="1"/>
        <v>61373389</v>
      </c>
    </row>
    <row r="41" spans="1:53" x14ac:dyDescent="0.3">
      <c r="A41" s="285" t="s">
        <v>299</v>
      </c>
      <c r="B41" s="738">
        <v>27180</v>
      </c>
      <c r="C41" s="739">
        <v>37521</v>
      </c>
      <c r="D41" s="736">
        <v>7203</v>
      </c>
      <c r="E41" s="735">
        <v>7539</v>
      </c>
      <c r="F41" s="736"/>
      <c r="G41" s="735"/>
      <c r="H41" s="736">
        <v>51224</v>
      </c>
      <c r="I41" s="735">
        <v>57927</v>
      </c>
      <c r="J41" s="736">
        <v>2959</v>
      </c>
      <c r="K41" s="735">
        <v>3683</v>
      </c>
      <c r="L41" s="736">
        <v>661</v>
      </c>
      <c r="M41" s="737">
        <v>1715</v>
      </c>
      <c r="N41" s="736">
        <v>8416</v>
      </c>
      <c r="O41" s="737">
        <v>11227</v>
      </c>
      <c r="P41" s="734">
        <v>1771</v>
      </c>
      <c r="Q41" s="737">
        <v>2933</v>
      </c>
      <c r="R41" s="734">
        <v>60539</v>
      </c>
      <c r="S41" s="737"/>
      <c r="T41" s="734">
        <v>3408</v>
      </c>
      <c r="U41" s="737">
        <v>6957</v>
      </c>
      <c r="V41" s="734">
        <v>59277</v>
      </c>
      <c r="W41" s="737">
        <v>150933</v>
      </c>
      <c r="X41" s="734">
        <v>86008</v>
      </c>
      <c r="Y41" s="735">
        <v>119302</v>
      </c>
      <c r="Z41" s="736">
        <v>1254</v>
      </c>
      <c r="AA41" s="735">
        <v>1846</v>
      </c>
      <c r="AB41" s="736">
        <v>2028</v>
      </c>
      <c r="AC41" s="737">
        <v>3215</v>
      </c>
      <c r="AD41" s="734">
        <v>7385</v>
      </c>
      <c r="AE41" s="735">
        <v>9582</v>
      </c>
      <c r="AF41" s="736">
        <v>62989</v>
      </c>
      <c r="AG41" s="735">
        <v>89122</v>
      </c>
      <c r="AH41" s="736">
        <v>14149</v>
      </c>
      <c r="AI41" s="737">
        <v>21692</v>
      </c>
      <c r="AJ41" s="734">
        <v>7530</v>
      </c>
      <c r="AK41" s="735">
        <v>10330</v>
      </c>
      <c r="AL41" s="736"/>
      <c r="AM41" s="735"/>
      <c r="AN41" s="736">
        <v>35379</v>
      </c>
      <c r="AO41" s="735">
        <v>37649</v>
      </c>
      <c r="AP41" s="736">
        <v>8184</v>
      </c>
      <c r="AQ41" s="735">
        <v>11758</v>
      </c>
      <c r="AR41" s="736">
        <v>1678</v>
      </c>
      <c r="AS41" s="735"/>
      <c r="AT41" s="736">
        <v>50331</v>
      </c>
      <c r="AU41" s="735">
        <v>52370</v>
      </c>
      <c r="AV41" s="736">
        <f t="shared" si="0"/>
        <v>499553</v>
      </c>
      <c r="AW41" s="735">
        <f t="shared" si="0"/>
        <v>637301</v>
      </c>
      <c r="AX41" s="736">
        <v>11006991</v>
      </c>
      <c r="AY41" s="735">
        <v>11397534</v>
      </c>
      <c r="AZ41" s="736">
        <f t="shared" si="1"/>
        <v>11506544</v>
      </c>
      <c r="BA41" s="737">
        <f t="shared" si="1"/>
        <v>12034835</v>
      </c>
    </row>
    <row r="42" spans="1:53" x14ac:dyDescent="0.3">
      <c r="A42" s="285" t="s">
        <v>300</v>
      </c>
      <c r="B42" s="738">
        <v>9598</v>
      </c>
      <c r="C42" s="739">
        <v>11290</v>
      </c>
      <c r="D42" s="736">
        <v>8072</v>
      </c>
      <c r="E42" s="735">
        <v>5230</v>
      </c>
      <c r="F42" s="736">
        <v>1205</v>
      </c>
      <c r="G42" s="735">
        <v>1318</v>
      </c>
      <c r="H42" s="736">
        <v>38349</v>
      </c>
      <c r="I42" s="735">
        <v>41706</v>
      </c>
      <c r="J42" s="736">
        <v>7415</v>
      </c>
      <c r="K42" s="735">
        <v>9726</v>
      </c>
      <c r="L42" s="736">
        <v>4282</v>
      </c>
      <c r="M42" s="737">
        <v>5145</v>
      </c>
      <c r="N42" s="736">
        <v>1831</v>
      </c>
      <c r="O42" s="737">
        <v>1548</v>
      </c>
      <c r="P42" s="734">
        <v>7932</v>
      </c>
      <c r="Q42" s="737">
        <v>6030</v>
      </c>
      <c r="R42" s="734">
        <v>2855</v>
      </c>
      <c r="S42" s="737"/>
      <c r="T42" s="734">
        <v>6150</v>
      </c>
      <c r="U42" s="737">
        <v>5338</v>
      </c>
      <c r="V42" s="734">
        <v>34484</v>
      </c>
      <c r="W42" s="737">
        <v>36958</v>
      </c>
      <c r="X42" s="734">
        <v>47308</v>
      </c>
      <c r="Y42" s="735">
        <v>53695</v>
      </c>
      <c r="Z42" s="736">
        <v>13612</v>
      </c>
      <c r="AA42" s="735">
        <v>14674</v>
      </c>
      <c r="AB42" s="736">
        <v>1949</v>
      </c>
      <c r="AC42" s="737">
        <v>1956</v>
      </c>
      <c r="AD42" s="734">
        <v>8081</v>
      </c>
      <c r="AE42" s="735">
        <v>10000</v>
      </c>
      <c r="AF42" s="736">
        <v>24439</v>
      </c>
      <c r="AG42" s="735">
        <v>32157</v>
      </c>
      <c r="AH42" s="736">
        <v>11571</v>
      </c>
      <c r="AI42" s="737">
        <v>12834</v>
      </c>
      <c r="AJ42" s="734">
        <v>5169</v>
      </c>
      <c r="AK42" s="735">
        <v>5359</v>
      </c>
      <c r="AL42" s="736"/>
      <c r="AM42" s="735"/>
      <c r="AN42" s="736">
        <v>53462</v>
      </c>
      <c r="AO42" s="735">
        <v>51530</v>
      </c>
      <c r="AP42" s="736">
        <v>5575</v>
      </c>
      <c r="AQ42" s="735">
        <v>4762</v>
      </c>
      <c r="AR42" s="736">
        <v>2854</v>
      </c>
      <c r="AS42" s="735"/>
      <c r="AT42" s="736">
        <v>21117</v>
      </c>
      <c r="AU42" s="735">
        <v>36547</v>
      </c>
      <c r="AV42" s="736">
        <f t="shared" si="0"/>
        <v>317310</v>
      </c>
      <c r="AW42" s="735">
        <f t="shared" si="0"/>
        <v>347803</v>
      </c>
      <c r="AX42" s="736">
        <v>344305</v>
      </c>
      <c r="AY42" s="735">
        <v>375765</v>
      </c>
      <c r="AZ42" s="736">
        <f t="shared" si="1"/>
        <v>661615</v>
      </c>
      <c r="BA42" s="737">
        <f t="shared" si="1"/>
        <v>723568</v>
      </c>
    </row>
    <row r="43" spans="1:53" x14ac:dyDescent="0.3">
      <c r="A43" s="652" t="s">
        <v>301</v>
      </c>
      <c r="B43" s="738"/>
      <c r="C43" s="739"/>
      <c r="D43" s="736"/>
      <c r="E43" s="735"/>
      <c r="F43" s="736"/>
      <c r="G43" s="735"/>
      <c r="H43" s="736"/>
      <c r="I43" s="735"/>
      <c r="J43" s="736"/>
      <c r="K43" s="735"/>
      <c r="L43" s="736"/>
      <c r="M43" s="737"/>
      <c r="N43" s="736"/>
      <c r="O43" s="737"/>
      <c r="P43" s="734"/>
      <c r="Q43" s="737"/>
      <c r="R43" s="734"/>
      <c r="S43" s="737"/>
      <c r="T43" s="734"/>
      <c r="U43" s="737"/>
      <c r="V43" s="734"/>
      <c r="W43" s="737"/>
      <c r="X43" s="734"/>
      <c r="Y43" s="735"/>
      <c r="Z43" s="736"/>
      <c r="AA43" s="735"/>
      <c r="AB43" s="736"/>
      <c r="AC43" s="737"/>
      <c r="AD43" s="734"/>
      <c r="AE43" s="735"/>
      <c r="AF43" s="736"/>
      <c r="AG43" s="735"/>
      <c r="AH43" s="736"/>
      <c r="AI43" s="737"/>
      <c r="AJ43" s="734"/>
      <c r="AK43" s="735"/>
      <c r="AL43" s="736"/>
      <c r="AM43" s="735"/>
      <c r="AN43" s="736"/>
      <c r="AO43" s="735"/>
      <c r="AP43" s="736"/>
      <c r="AQ43" s="735"/>
      <c r="AR43" s="736"/>
      <c r="AS43" s="735"/>
      <c r="AT43" s="736"/>
      <c r="AU43" s="735"/>
      <c r="AV43" s="736">
        <f t="shared" si="0"/>
        <v>0</v>
      </c>
      <c r="AW43" s="735">
        <f t="shared" si="0"/>
        <v>0</v>
      </c>
      <c r="AX43" s="736"/>
      <c r="AY43" s="735"/>
      <c r="AZ43" s="736">
        <f t="shared" si="1"/>
        <v>0</v>
      </c>
      <c r="BA43" s="737">
        <f t="shared" si="1"/>
        <v>0</v>
      </c>
    </row>
    <row r="44" spans="1:53" x14ac:dyDescent="0.3">
      <c r="A44" s="652" t="s">
        <v>302</v>
      </c>
      <c r="B44" s="738"/>
      <c r="C44" s="739"/>
      <c r="D44" s="736"/>
      <c r="E44" s="735"/>
      <c r="F44" s="736"/>
      <c r="G44" s="735"/>
      <c r="H44" s="736"/>
      <c r="I44" s="735"/>
      <c r="J44" s="736"/>
      <c r="K44" s="735"/>
      <c r="L44" s="736"/>
      <c r="M44" s="737"/>
      <c r="N44" s="736">
        <v>2512</v>
      </c>
      <c r="O44" s="737">
        <v>918</v>
      </c>
      <c r="P44" s="734"/>
      <c r="Q44" s="737"/>
      <c r="R44" s="734">
        <v>240</v>
      </c>
      <c r="S44" s="737"/>
      <c r="T44" s="734"/>
      <c r="U44" s="737"/>
      <c r="V44" s="734"/>
      <c r="W44" s="737"/>
      <c r="X44" s="734"/>
      <c r="Y44" s="735">
        <v>28</v>
      </c>
      <c r="Z44" s="736"/>
      <c r="AA44" s="735"/>
      <c r="AB44" s="736"/>
      <c r="AC44" s="737"/>
      <c r="AD44" s="734"/>
      <c r="AE44" s="735"/>
      <c r="AF44" s="736"/>
      <c r="AG44" s="735"/>
      <c r="AH44" s="736"/>
      <c r="AI44" s="737"/>
      <c r="AJ44" s="734"/>
      <c r="AK44" s="735"/>
      <c r="AL44" s="736"/>
      <c r="AM44" s="735"/>
      <c r="AN44" s="736"/>
      <c r="AO44" s="735"/>
      <c r="AP44" s="736"/>
      <c r="AQ44" s="735"/>
      <c r="AR44" s="736"/>
      <c r="AS44" s="735"/>
      <c r="AT44" s="736"/>
      <c r="AU44" s="735"/>
      <c r="AV44" s="736"/>
      <c r="AW44" s="735"/>
      <c r="AX44" s="736"/>
      <c r="AY44" s="735"/>
      <c r="AZ44" s="736">
        <f t="shared" si="1"/>
        <v>0</v>
      </c>
      <c r="BA44" s="737">
        <f t="shared" si="1"/>
        <v>0</v>
      </c>
    </row>
    <row r="45" spans="1:53" x14ac:dyDescent="0.3">
      <c r="A45" s="285" t="s">
        <v>303</v>
      </c>
      <c r="B45" s="738">
        <v>50018</v>
      </c>
      <c r="C45" s="739">
        <v>47531</v>
      </c>
      <c r="D45" s="736">
        <v>2115</v>
      </c>
      <c r="E45" s="735">
        <v>1951</v>
      </c>
      <c r="F45" s="736">
        <v>1548</v>
      </c>
      <c r="G45" s="735">
        <v>2704</v>
      </c>
      <c r="H45" s="736">
        <v>13211</v>
      </c>
      <c r="I45" s="735">
        <v>23210</v>
      </c>
      <c r="J45" s="736">
        <v>14367</v>
      </c>
      <c r="K45" s="735">
        <v>5724</v>
      </c>
      <c r="L45" s="736">
        <v>23336</v>
      </c>
      <c r="M45" s="737">
        <v>19583</v>
      </c>
      <c r="N45" s="736">
        <v>2036</v>
      </c>
      <c r="O45" s="737">
        <v>3813</v>
      </c>
      <c r="P45" s="734">
        <v>25116</v>
      </c>
      <c r="Q45" s="737">
        <v>6248</v>
      </c>
      <c r="R45" s="734">
        <v>9682</v>
      </c>
      <c r="S45" s="737"/>
      <c r="T45" s="734">
        <v>4321</v>
      </c>
      <c r="U45" s="737">
        <v>5788</v>
      </c>
      <c r="V45" s="734">
        <v>60899</v>
      </c>
      <c r="W45" s="737">
        <v>58997</v>
      </c>
      <c r="X45" s="734">
        <v>25244</v>
      </c>
      <c r="Y45" s="735">
        <v>63631</v>
      </c>
      <c r="Z45" s="736">
        <v>14435</v>
      </c>
      <c r="AA45" s="735">
        <v>12628</v>
      </c>
      <c r="AB45" s="736">
        <v>16752</v>
      </c>
      <c r="AC45" s="737">
        <v>29517</v>
      </c>
      <c r="AD45" s="734">
        <v>10014</v>
      </c>
      <c r="AE45" s="735">
        <v>28374</v>
      </c>
      <c r="AF45" s="736">
        <v>41467</v>
      </c>
      <c r="AG45" s="735">
        <v>62767</v>
      </c>
      <c r="AH45" s="736">
        <v>7427</v>
      </c>
      <c r="AI45" s="737">
        <v>10204</v>
      </c>
      <c r="AJ45" s="734">
        <v>14988</v>
      </c>
      <c r="AK45" s="735">
        <v>13638</v>
      </c>
      <c r="AL45" s="736"/>
      <c r="AM45" s="735"/>
      <c r="AN45" s="736">
        <v>337093</v>
      </c>
      <c r="AO45" s="735">
        <v>423436</v>
      </c>
      <c r="AP45" s="736">
        <v>9958</v>
      </c>
      <c r="AQ45" s="735">
        <v>16194</v>
      </c>
      <c r="AR45" s="736">
        <v>10279</v>
      </c>
      <c r="AS45" s="735"/>
      <c r="AT45" s="736">
        <v>15805</v>
      </c>
      <c r="AU45" s="735">
        <v>21986</v>
      </c>
      <c r="AV45" s="736"/>
      <c r="AW45" s="735"/>
      <c r="AX45" s="736">
        <v>1499398</v>
      </c>
      <c r="AY45" s="735">
        <v>2483443</v>
      </c>
      <c r="AZ45" s="736">
        <f t="shared" si="1"/>
        <v>1499398</v>
      </c>
      <c r="BA45" s="737">
        <f t="shared" si="1"/>
        <v>2483443</v>
      </c>
    </row>
    <row r="46" spans="1:53" x14ac:dyDescent="0.3">
      <c r="A46" s="285" t="s">
        <v>304</v>
      </c>
      <c r="B46" s="738">
        <v>152487</v>
      </c>
      <c r="C46" s="739">
        <v>146785</v>
      </c>
      <c r="D46" s="736">
        <v>13548</v>
      </c>
      <c r="E46" s="735">
        <v>10210</v>
      </c>
      <c r="F46" s="736">
        <v>41309</v>
      </c>
      <c r="G46" s="735">
        <v>37503</v>
      </c>
      <c r="H46" s="736">
        <v>210979</v>
      </c>
      <c r="I46" s="735">
        <v>228865</v>
      </c>
      <c r="J46" s="736">
        <v>45862</v>
      </c>
      <c r="K46" s="735">
        <v>43005</v>
      </c>
      <c r="L46" s="736">
        <v>46312</v>
      </c>
      <c r="M46" s="737">
        <v>59877</v>
      </c>
      <c r="N46" s="736">
        <v>35776</v>
      </c>
      <c r="O46" s="737">
        <v>34837</v>
      </c>
      <c r="P46" s="734">
        <v>36736</v>
      </c>
      <c r="Q46" s="737">
        <v>39806</v>
      </c>
      <c r="R46" s="734">
        <v>66718</v>
      </c>
      <c r="S46" s="737"/>
      <c r="T46" s="734">
        <v>24067</v>
      </c>
      <c r="U46" s="737">
        <v>22823</v>
      </c>
      <c r="V46" s="734">
        <v>475472</v>
      </c>
      <c r="W46" s="737">
        <v>496299</v>
      </c>
      <c r="X46" s="734">
        <v>436226</v>
      </c>
      <c r="Y46" s="735">
        <v>433388</v>
      </c>
      <c r="Z46" s="736">
        <v>56490</v>
      </c>
      <c r="AA46" s="735">
        <v>51442</v>
      </c>
      <c r="AB46" s="736">
        <v>64038</v>
      </c>
      <c r="AC46" s="737">
        <v>67764</v>
      </c>
      <c r="AD46" s="734">
        <v>110946</v>
      </c>
      <c r="AE46" s="735">
        <v>116141</v>
      </c>
      <c r="AF46" s="736">
        <v>266586</v>
      </c>
      <c r="AG46" s="735">
        <v>241540</v>
      </c>
      <c r="AH46" s="736">
        <v>122441</v>
      </c>
      <c r="AI46" s="737">
        <v>116469</v>
      </c>
      <c r="AJ46" s="734">
        <v>99796</v>
      </c>
      <c r="AK46" s="735">
        <v>102863</v>
      </c>
      <c r="AL46" s="736"/>
      <c r="AM46" s="735"/>
      <c r="AN46" s="736">
        <v>422394</v>
      </c>
      <c r="AO46" s="735">
        <v>475766</v>
      </c>
      <c r="AP46" s="736">
        <v>38068</v>
      </c>
      <c r="AQ46" s="735">
        <v>48747</v>
      </c>
      <c r="AR46" s="736">
        <v>51282</v>
      </c>
      <c r="AS46" s="735"/>
      <c r="AT46" s="736">
        <v>171067</v>
      </c>
      <c r="AU46" s="735">
        <v>195317</v>
      </c>
      <c r="AV46" s="736"/>
      <c r="AW46" s="735"/>
      <c r="AX46" s="736">
        <v>14972604</v>
      </c>
      <c r="AY46" s="735">
        <v>14077537</v>
      </c>
      <c r="AZ46" s="736">
        <f t="shared" si="1"/>
        <v>14972604</v>
      </c>
      <c r="BA46" s="737">
        <f t="shared" si="1"/>
        <v>14077537</v>
      </c>
    </row>
    <row r="47" spans="1:53" s="57" customFormat="1" ht="13.5" x14ac:dyDescent="0.25">
      <c r="A47" s="652" t="s">
        <v>305</v>
      </c>
      <c r="B47" s="741">
        <f>SUM(B45:B46)</f>
        <v>202505</v>
      </c>
      <c r="C47" s="742">
        <f>SUM(C45:C46)</f>
        <v>194316</v>
      </c>
      <c r="D47" s="742">
        <f t="shared" ref="D47:AU47" si="5">SUM(D45:D46)</f>
        <v>15663</v>
      </c>
      <c r="E47" s="742">
        <f t="shared" si="5"/>
        <v>12161</v>
      </c>
      <c r="F47" s="742">
        <f t="shared" si="5"/>
        <v>42857</v>
      </c>
      <c r="G47" s="742">
        <f t="shared" si="5"/>
        <v>40207</v>
      </c>
      <c r="H47" s="742">
        <f t="shared" si="5"/>
        <v>224190</v>
      </c>
      <c r="I47" s="742">
        <f t="shared" si="5"/>
        <v>252075</v>
      </c>
      <c r="J47" s="742">
        <f t="shared" si="5"/>
        <v>60229</v>
      </c>
      <c r="K47" s="742">
        <f t="shared" si="5"/>
        <v>48729</v>
      </c>
      <c r="L47" s="884">
        <f t="shared" si="5"/>
        <v>69648</v>
      </c>
      <c r="M47" s="744">
        <f t="shared" si="5"/>
        <v>79460</v>
      </c>
      <c r="N47" s="884">
        <f t="shared" si="5"/>
        <v>37812</v>
      </c>
      <c r="O47" s="744">
        <f t="shared" si="5"/>
        <v>38650</v>
      </c>
      <c r="P47" s="883">
        <f t="shared" si="5"/>
        <v>61852</v>
      </c>
      <c r="Q47" s="742">
        <f t="shared" si="5"/>
        <v>46054</v>
      </c>
      <c r="R47" s="742">
        <f t="shared" si="5"/>
        <v>76400</v>
      </c>
      <c r="S47" s="742">
        <f t="shared" si="5"/>
        <v>0</v>
      </c>
      <c r="T47" s="742">
        <f t="shared" si="5"/>
        <v>28388</v>
      </c>
      <c r="U47" s="742">
        <f t="shared" si="5"/>
        <v>28611</v>
      </c>
      <c r="V47" s="742">
        <f t="shared" si="5"/>
        <v>536371</v>
      </c>
      <c r="W47" s="742">
        <f t="shared" si="5"/>
        <v>555296</v>
      </c>
      <c r="X47" s="742">
        <v>461470</v>
      </c>
      <c r="Y47" s="742">
        <f t="shared" si="5"/>
        <v>497019</v>
      </c>
      <c r="Z47" s="742">
        <f t="shared" si="5"/>
        <v>70925</v>
      </c>
      <c r="AA47" s="742">
        <f t="shared" si="5"/>
        <v>64070</v>
      </c>
      <c r="AB47" s="742">
        <f t="shared" si="5"/>
        <v>80790</v>
      </c>
      <c r="AC47" s="742">
        <f t="shared" si="5"/>
        <v>97281</v>
      </c>
      <c r="AD47" s="742">
        <f t="shared" si="5"/>
        <v>120960</v>
      </c>
      <c r="AE47" s="742">
        <f t="shared" si="5"/>
        <v>144515</v>
      </c>
      <c r="AF47" s="742">
        <v>308053</v>
      </c>
      <c r="AG47" s="742">
        <f t="shared" si="5"/>
        <v>304307</v>
      </c>
      <c r="AH47" s="884">
        <f t="shared" si="5"/>
        <v>129868</v>
      </c>
      <c r="AI47" s="744">
        <f t="shared" si="5"/>
        <v>126673</v>
      </c>
      <c r="AJ47" s="883">
        <f t="shared" si="5"/>
        <v>114784</v>
      </c>
      <c r="AK47" s="742">
        <f t="shared" si="5"/>
        <v>116501</v>
      </c>
      <c r="AL47" s="742">
        <f t="shared" si="5"/>
        <v>0</v>
      </c>
      <c r="AM47" s="742">
        <f t="shared" si="5"/>
        <v>0</v>
      </c>
      <c r="AN47" s="742">
        <f t="shared" si="5"/>
        <v>759487</v>
      </c>
      <c r="AO47" s="742">
        <f t="shared" si="5"/>
        <v>899202</v>
      </c>
      <c r="AP47" s="742">
        <f t="shared" si="5"/>
        <v>48026</v>
      </c>
      <c r="AQ47" s="742">
        <f t="shared" si="5"/>
        <v>64941</v>
      </c>
      <c r="AR47" s="742">
        <f t="shared" si="5"/>
        <v>61561</v>
      </c>
      <c r="AS47" s="742">
        <f t="shared" si="5"/>
        <v>0</v>
      </c>
      <c r="AT47" s="742">
        <f t="shared" si="5"/>
        <v>186872</v>
      </c>
      <c r="AU47" s="742">
        <f t="shared" si="5"/>
        <v>217303</v>
      </c>
      <c r="AV47" s="745">
        <f t="shared" si="0"/>
        <v>3698711</v>
      </c>
      <c r="AW47" s="748">
        <f t="shared" si="0"/>
        <v>3827371</v>
      </c>
      <c r="AX47" s="745">
        <v>16472003</v>
      </c>
      <c r="AY47" s="748">
        <v>16560982</v>
      </c>
      <c r="AZ47" s="745">
        <f t="shared" si="1"/>
        <v>20170714</v>
      </c>
      <c r="BA47" s="746">
        <f t="shared" si="1"/>
        <v>20388353</v>
      </c>
    </row>
    <row r="48" spans="1:53" x14ac:dyDescent="0.3">
      <c r="A48" s="285" t="s">
        <v>306</v>
      </c>
      <c r="B48" s="738">
        <v>156450</v>
      </c>
      <c r="C48" s="739">
        <v>150886</v>
      </c>
      <c r="D48" s="736">
        <v>12910</v>
      </c>
      <c r="E48" s="735">
        <v>10953</v>
      </c>
      <c r="F48" s="736">
        <v>36302</v>
      </c>
      <c r="G48" s="735">
        <v>34948</v>
      </c>
      <c r="H48" s="736">
        <v>194983</v>
      </c>
      <c r="I48" s="735">
        <v>253025</v>
      </c>
      <c r="J48" s="736">
        <v>32546</v>
      </c>
      <c r="K48" s="735">
        <v>33517</v>
      </c>
      <c r="L48" s="736">
        <v>53408</v>
      </c>
      <c r="M48" s="737">
        <v>66565</v>
      </c>
      <c r="N48" s="736">
        <v>15466</v>
      </c>
      <c r="O48" s="737">
        <v>18237</v>
      </c>
      <c r="P48" s="734">
        <v>30997</v>
      </c>
      <c r="Q48" s="737">
        <v>26937</v>
      </c>
      <c r="R48" s="734">
        <v>59671</v>
      </c>
      <c r="S48" s="737"/>
      <c r="T48" s="734">
        <v>24031</v>
      </c>
      <c r="U48" s="737">
        <v>32903</v>
      </c>
      <c r="V48" s="734">
        <v>595623</v>
      </c>
      <c r="W48" s="737">
        <v>655940</v>
      </c>
      <c r="X48" s="734">
        <v>478292</v>
      </c>
      <c r="Y48" s="735">
        <v>439362</v>
      </c>
      <c r="Z48" s="736">
        <v>22426</v>
      </c>
      <c r="AA48" s="735">
        <v>24961</v>
      </c>
      <c r="AB48" s="736">
        <v>70420</v>
      </c>
      <c r="AC48" s="737">
        <v>82149</v>
      </c>
      <c r="AD48" s="734">
        <v>175729</v>
      </c>
      <c r="AE48" s="735">
        <v>200408</v>
      </c>
      <c r="AF48" s="736">
        <v>300762</v>
      </c>
      <c r="AG48" s="735">
        <v>295834</v>
      </c>
      <c r="AH48" s="736">
        <v>109055</v>
      </c>
      <c r="AI48" s="737">
        <v>122923</v>
      </c>
      <c r="AJ48" s="734">
        <v>93902</v>
      </c>
      <c r="AK48" s="735">
        <v>96186</v>
      </c>
      <c r="AL48" s="736"/>
      <c r="AM48" s="735"/>
      <c r="AN48" s="736">
        <v>515882</v>
      </c>
      <c r="AO48" s="735">
        <v>585012</v>
      </c>
      <c r="AP48" s="736">
        <v>28478</v>
      </c>
      <c r="AQ48" s="735">
        <v>33760</v>
      </c>
      <c r="AR48" s="736">
        <v>30072</v>
      </c>
      <c r="AS48" s="735"/>
      <c r="AT48" s="736">
        <v>225409</v>
      </c>
      <c r="AU48" s="735">
        <v>298945</v>
      </c>
      <c r="AV48" s="736"/>
      <c r="AW48" s="735"/>
      <c r="AX48" s="736">
        <v>5285429</v>
      </c>
      <c r="AY48" s="735">
        <v>4453302</v>
      </c>
      <c r="AZ48" s="736">
        <f t="shared" si="1"/>
        <v>5285429</v>
      </c>
      <c r="BA48" s="737">
        <f t="shared" si="1"/>
        <v>4453302</v>
      </c>
    </row>
    <row r="49" spans="1:53" x14ac:dyDescent="0.3">
      <c r="A49" s="285" t="s">
        <v>307</v>
      </c>
      <c r="B49" s="738">
        <v>12665</v>
      </c>
      <c r="C49" s="739">
        <v>12368</v>
      </c>
      <c r="D49" s="736">
        <v>196</v>
      </c>
      <c r="E49" s="735">
        <v>233</v>
      </c>
      <c r="F49" s="736">
        <v>1240</v>
      </c>
      <c r="G49" s="735">
        <v>1195</v>
      </c>
      <c r="H49" s="736">
        <v>22297</v>
      </c>
      <c r="I49" s="735">
        <v>26181</v>
      </c>
      <c r="J49" s="736">
        <v>6446</v>
      </c>
      <c r="K49" s="735">
        <v>6557</v>
      </c>
      <c r="L49" s="736">
        <v>1697</v>
      </c>
      <c r="M49" s="737">
        <v>1652</v>
      </c>
      <c r="N49" s="736">
        <v>13632</v>
      </c>
      <c r="O49" s="737">
        <v>13499</v>
      </c>
      <c r="P49" s="734">
        <v>604</v>
      </c>
      <c r="Q49" s="737">
        <v>314</v>
      </c>
      <c r="R49" s="734">
        <v>4785</v>
      </c>
      <c r="S49" s="737"/>
      <c r="T49" s="734">
        <v>505</v>
      </c>
      <c r="U49" s="737">
        <v>1034</v>
      </c>
      <c r="V49" s="734">
        <v>7909</v>
      </c>
      <c r="W49" s="737">
        <v>11621</v>
      </c>
      <c r="X49" s="734">
        <v>2572</v>
      </c>
      <c r="Y49" s="735">
        <v>2530</v>
      </c>
      <c r="Z49" s="736">
        <v>688</v>
      </c>
      <c r="AA49" s="735">
        <v>576</v>
      </c>
      <c r="AB49" s="736">
        <v>216</v>
      </c>
      <c r="AC49" s="737">
        <v>81</v>
      </c>
      <c r="AD49" s="734">
        <v>36390</v>
      </c>
      <c r="AE49" s="735">
        <v>50457</v>
      </c>
      <c r="AF49" s="736">
        <v>4979</v>
      </c>
      <c r="AG49" s="735">
        <v>5403</v>
      </c>
      <c r="AH49" s="736">
        <v>8423</v>
      </c>
      <c r="AI49" s="737">
        <v>10307</v>
      </c>
      <c r="AJ49" s="734">
        <v>6529</v>
      </c>
      <c r="AK49" s="735">
        <v>6625</v>
      </c>
      <c r="AL49" s="736"/>
      <c r="AM49" s="735"/>
      <c r="AN49" s="736">
        <v>38147</v>
      </c>
      <c r="AO49" s="735">
        <v>36379</v>
      </c>
      <c r="AP49" s="736">
        <v>1328</v>
      </c>
      <c r="AQ49" s="735">
        <v>5465</v>
      </c>
      <c r="AR49" s="736">
        <v>516</v>
      </c>
      <c r="AS49" s="735"/>
      <c r="AT49" s="736">
        <v>7173</v>
      </c>
      <c r="AU49" s="735">
        <v>8982</v>
      </c>
      <c r="AV49" s="736"/>
      <c r="AW49" s="735"/>
      <c r="AX49" s="736">
        <v>1494305</v>
      </c>
      <c r="AY49" s="735">
        <v>1494306</v>
      </c>
      <c r="AZ49" s="736">
        <f t="shared" si="1"/>
        <v>1494305</v>
      </c>
      <c r="BA49" s="737">
        <f t="shared" si="1"/>
        <v>1494306</v>
      </c>
    </row>
    <row r="50" spans="1:53" s="57" customFormat="1" ht="13.5" x14ac:dyDescent="0.25">
      <c r="A50" s="652" t="s">
        <v>308</v>
      </c>
      <c r="B50" s="741">
        <f>SUM(B48:B49)</f>
        <v>169115</v>
      </c>
      <c r="C50" s="742">
        <f>SUM(C48:C49)</f>
        <v>163254</v>
      </c>
      <c r="D50" s="745">
        <v>13106</v>
      </c>
      <c r="E50" s="748">
        <f t="shared" ref="E50:AM50" si="6">SUM(E48:E49)</f>
        <v>11186</v>
      </c>
      <c r="F50" s="745">
        <f t="shared" si="6"/>
        <v>37542</v>
      </c>
      <c r="G50" s="748">
        <f t="shared" si="6"/>
        <v>36143</v>
      </c>
      <c r="H50" s="745">
        <f t="shared" si="6"/>
        <v>217280</v>
      </c>
      <c r="I50" s="748">
        <f t="shared" ref="I50" si="7">SUM(I48:I49)</f>
        <v>279206</v>
      </c>
      <c r="J50" s="745">
        <f t="shared" si="6"/>
        <v>38992</v>
      </c>
      <c r="K50" s="748">
        <f t="shared" si="6"/>
        <v>40074</v>
      </c>
      <c r="L50" s="745">
        <f t="shared" si="6"/>
        <v>55105</v>
      </c>
      <c r="M50" s="746">
        <f t="shared" si="6"/>
        <v>68217</v>
      </c>
      <c r="N50" s="745">
        <f t="shared" si="6"/>
        <v>29098</v>
      </c>
      <c r="O50" s="746">
        <f t="shared" si="6"/>
        <v>31736</v>
      </c>
      <c r="P50" s="747">
        <f t="shared" si="6"/>
        <v>31601</v>
      </c>
      <c r="Q50" s="746">
        <f t="shared" si="6"/>
        <v>27251</v>
      </c>
      <c r="R50" s="747">
        <f t="shared" si="6"/>
        <v>64456</v>
      </c>
      <c r="S50" s="746">
        <f t="shared" si="6"/>
        <v>0</v>
      </c>
      <c r="T50" s="747">
        <f t="shared" si="6"/>
        <v>24536</v>
      </c>
      <c r="U50" s="746">
        <f t="shared" si="6"/>
        <v>33937</v>
      </c>
      <c r="V50" s="747">
        <f t="shared" si="6"/>
        <v>603532</v>
      </c>
      <c r="W50" s="746">
        <f t="shared" si="6"/>
        <v>667561</v>
      </c>
      <c r="X50" s="747">
        <f t="shared" si="6"/>
        <v>480864</v>
      </c>
      <c r="Y50" s="748">
        <f t="shared" si="6"/>
        <v>441892</v>
      </c>
      <c r="Z50" s="748">
        <f t="shared" si="6"/>
        <v>23114</v>
      </c>
      <c r="AA50" s="748">
        <f t="shared" si="6"/>
        <v>25537</v>
      </c>
      <c r="AB50" s="748">
        <f t="shared" si="6"/>
        <v>70636</v>
      </c>
      <c r="AC50" s="748">
        <f t="shared" si="6"/>
        <v>82230</v>
      </c>
      <c r="AD50" s="748">
        <f t="shared" si="6"/>
        <v>212119</v>
      </c>
      <c r="AE50" s="748">
        <f t="shared" si="6"/>
        <v>250865</v>
      </c>
      <c r="AF50" s="748">
        <f t="shared" si="6"/>
        <v>305741</v>
      </c>
      <c r="AG50" s="748">
        <f t="shared" si="6"/>
        <v>301237</v>
      </c>
      <c r="AH50" s="898">
        <f t="shared" si="6"/>
        <v>117478</v>
      </c>
      <c r="AI50" s="746">
        <f t="shared" si="6"/>
        <v>133230</v>
      </c>
      <c r="AJ50" s="897">
        <f t="shared" si="6"/>
        <v>100431</v>
      </c>
      <c r="AK50" s="748">
        <f t="shared" si="6"/>
        <v>102811</v>
      </c>
      <c r="AL50" s="748">
        <f t="shared" si="6"/>
        <v>0</v>
      </c>
      <c r="AM50" s="748">
        <f t="shared" si="6"/>
        <v>0</v>
      </c>
      <c r="AN50" s="745">
        <f>SUM(AN48:AN49)</f>
        <v>554029</v>
      </c>
      <c r="AO50" s="745">
        <f>SUM(AO48:AO49)</f>
        <v>621391</v>
      </c>
      <c r="AP50" s="745">
        <f t="shared" ref="AP50:AU50" si="8">SUM(AP48:AP49)</f>
        <v>29806</v>
      </c>
      <c r="AQ50" s="745">
        <f t="shared" si="8"/>
        <v>39225</v>
      </c>
      <c r="AR50" s="745">
        <f t="shared" si="8"/>
        <v>30588</v>
      </c>
      <c r="AS50" s="748">
        <f t="shared" si="8"/>
        <v>0</v>
      </c>
      <c r="AT50" s="745">
        <f t="shared" si="8"/>
        <v>232582</v>
      </c>
      <c r="AU50" s="748">
        <f t="shared" si="8"/>
        <v>307927</v>
      </c>
      <c r="AV50" s="745">
        <f t="shared" si="0"/>
        <v>3441751</v>
      </c>
      <c r="AW50" s="748">
        <f t="shared" si="0"/>
        <v>3664910</v>
      </c>
      <c r="AX50" s="745">
        <f>SUM(AX48:AX49)</f>
        <v>6779734</v>
      </c>
      <c r="AY50" s="748">
        <f>SUM(AY48:AY49)</f>
        <v>5947608</v>
      </c>
      <c r="AZ50" s="745">
        <f t="shared" si="1"/>
        <v>10221485</v>
      </c>
      <c r="BA50" s="746">
        <f t="shared" si="1"/>
        <v>9612518</v>
      </c>
    </row>
    <row r="51" spans="1:53" s="57" customFormat="1" ht="13.5" x14ac:dyDescent="0.25">
      <c r="A51" s="652" t="s">
        <v>309</v>
      </c>
      <c r="B51" s="741">
        <f t="shared" ref="B51:AK51" si="9">B47-B50</f>
        <v>33390</v>
      </c>
      <c r="C51" s="742">
        <f t="shared" si="9"/>
        <v>31062</v>
      </c>
      <c r="D51" s="745">
        <f t="shared" si="9"/>
        <v>2557</v>
      </c>
      <c r="E51" s="748">
        <f t="shared" si="9"/>
        <v>975</v>
      </c>
      <c r="F51" s="745">
        <f t="shared" si="9"/>
        <v>5315</v>
      </c>
      <c r="G51" s="748">
        <f t="shared" si="9"/>
        <v>4064</v>
      </c>
      <c r="H51" s="745">
        <f t="shared" si="9"/>
        <v>6910</v>
      </c>
      <c r="I51" s="748">
        <f t="shared" ref="I51" si="10">I47-I50</f>
        <v>-27131</v>
      </c>
      <c r="J51" s="745">
        <f t="shared" si="9"/>
        <v>21237</v>
      </c>
      <c r="K51" s="748">
        <f t="shared" si="9"/>
        <v>8655</v>
      </c>
      <c r="L51" s="745">
        <f t="shared" si="9"/>
        <v>14543</v>
      </c>
      <c r="M51" s="746">
        <f t="shared" si="9"/>
        <v>11243</v>
      </c>
      <c r="N51" s="745">
        <f t="shared" si="9"/>
        <v>8714</v>
      </c>
      <c r="O51" s="746">
        <f t="shared" si="9"/>
        <v>6914</v>
      </c>
      <c r="P51" s="747">
        <f t="shared" si="9"/>
        <v>30251</v>
      </c>
      <c r="Q51" s="746">
        <f t="shared" si="9"/>
        <v>18803</v>
      </c>
      <c r="R51" s="747">
        <f t="shared" si="9"/>
        <v>11944</v>
      </c>
      <c r="S51" s="746">
        <f t="shared" si="9"/>
        <v>0</v>
      </c>
      <c r="T51" s="747">
        <f t="shared" si="9"/>
        <v>3852</v>
      </c>
      <c r="U51" s="746">
        <f t="shared" si="9"/>
        <v>-5326</v>
      </c>
      <c r="V51" s="747">
        <f t="shared" si="9"/>
        <v>-67161</v>
      </c>
      <c r="W51" s="746">
        <f t="shared" si="9"/>
        <v>-112265</v>
      </c>
      <c r="X51" s="747">
        <f t="shared" si="9"/>
        <v>-19394</v>
      </c>
      <c r="Y51" s="748">
        <f t="shared" si="9"/>
        <v>55127</v>
      </c>
      <c r="Z51" s="748">
        <f t="shared" si="9"/>
        <v>47811</v>
      </c>
      <c r="AA51" s="748">
        <f t="shared" si="9"/>
        <v>38533</v>
      </c>
      <c r="AB51" s="748">
        <f t="shared" si="9"/>
        <v>10154</v>
      </c>
      <c r="AC51" s="748">
        <f t="shared" si="9"/>
        <v>15051</v>
      </c>
      <c r="AD51" s="748">
        <f t="shared" si="9"/>
        <v>-91159</v>
      </c>
      <c r="AE51" s="748">
        <f t="shared" si="9"/>
        <v>-106350</v>
      </c>
      <c r="AF51" s="748">
        <f t="shared" si="9"/>
        <v>2312</v>
      </c>
      <c r="AG51" s="748">
        <f t="shared" si="9"/>
        <v>3070</v>
      </c>
      <c r="AH51" s="898">
        <f t="shared" si="9"/>
        <v>12390</v>
      </c>
      <c r="AI51" s="746">
        <f t="shared" si="9"/>
        <v>-6557</v>
      </c>
      <c r="AJ51" s="897">
        <f t="shared" si="9"/>
        <v>14353</v>
      </c>
      <c r="AK51" s="748">
        <f t="shared" si="9"/>
        <v>13690</v>
      </c>
      <c r="AL51" s="745">
        <f>AL47-AL50</f>
        <v>0</v>
      </c>
      <c r="AM51" s="748">
        <f>AM47-AM50</f>
        <v>0</v>
      </c>
      <c r="AN51" s="745">
        <f>AN47-AN50</f>
        <v>205458</v>
      </c>
      <c r="AO51" s="748">
        <f>AO47-AO50</f>
        <v>277811</v>
      </c>
      <c r="AP51" s="745">
        <f t="shared" ref="AP51:AU51" si="11">AP47-AP50</f>
        <v>18220</v>
      </c>
      <c r="AQ51" s="748">
        <f t="shared" si="11"/>
        <v>25716</v>
      </c>
      <c r="AR51" s="745">
        <f t="shared" si="11"/>
        <v>30973</v>
      </c>
      <c r="AS51" s="748">
        <f t="shared" si="11"/>
        <v>0</v>
      </c>
      <c r="AT51" s="745">
        <f t="shared" si="11"/>
        <v>-45710</v>
      </c>
      <c r="AU51" s="748">
        <f t="shared" si="11"/>
        <v>-90624</v>
      </c>
      <c r="AV51" s="745">
        <f t="shared" si="0"/>
        <v>256960</v>
      </c>
      <c r="AW51" s="748">
        <f t="shared" si="0"/>
        <v>162461</v>
      </c>
      <c r="AX51" s="745">
        <f>AX47-AX50</f>
        <v>9692269</v>
      </c>
      <c r="AY51" s="748">
        <f>AY47-AY50</f>
        <v>10613374</v>
      </c>
      <c r="AZ51" s="745">
        <f t="shared" si="1"/>
        <v>9949229</v>
      </c>
      <c r="BA51" s="746">
        <f t="shared" si="1"/>
        <v>10775835</v>
      </c>
    </row>
    <row r="52" spans="1:53" x14ac:dyDescent="0.3">
      <c r="A52" s="285" t="s">
        <v>310</v>
      </c>
      <c r="B52" s="738"/>
      <c r="C52" s="739"/>
      <c r="D52" s="736"/>
      <c r="E52" s="735"/>
      <c r="F52" s="736"/>
      <c r="G52" s="735"/>
      <c r="H52" s="736"/>
      <c r="I52" s="735"/>
      <c r="J52" s="736"/>
      <c r="K52" s="735"/>
      <c r="L52" s="736"/>
      <c r="M52" s="737"/>
      <c r="N52" s="736"/>
      <c r="O52" s="737"/>
      <c r="P52" s="734"/>
      <c r="Q52" s="737"/>
      <c r="R52" s="734"/>
      <c r="S52" s="737"/>
      <c r="T52" s="734"/>
      <c r="U52" s="737"/>
      <c r="V52" s="734"/>
      <c r="W52" s="737"/>
      <c r="X52" s="734"/>
      <c r="Y52" s="735"/>
      <c r="Z52" s="736"/>
      <c r="AA52" s="735"/>
      <c r="AB52" s="736"/>
      <c r="AC52" s="737"/>
      <c r="AD52" s="734"/>
      <c r="AE52" s="735"/>
      <c r="AF52" s="736"/>
      <c r="AG52" s="735"/>
      <c r="AH52" s="736"/>
      <c r="AI52" s="737"/>
      <c r="AJ52" s="734"/>
      <c r="AK52" s="735"/>
      <c r="AL52" s="736"/>
      <c r="AM52" s="735"/>
      <c r="AN52" s="736"/>
      <c r="AO52" s="735"/>
      <c r="AP52" s="736"/>
      <c r="AQ52" s="735"/>
      <c r="AR52" s="736"/>
      <c r="AS52" s="735"/>
      <c r="AT52" s="736"/>
      <c r="AU52" s="735"/>
      <c r="AV52" s="736">
        <f t="shared" si="0"/>
        <v>0</v>
      </c>
      <c r="AW52" s="735">
        <f t="shared" si="0"/>
        <v>0</v>
      </c>
      <c r="AX52" s="736"/>
      <c r="AY52" s="735"/>
      <c r="AZ52" s="736">
        <f t="shared" si="1"/>
        <v>0</v>
      </c>
      <c r="BA52" s="737">
        <f t="shared" si="1"/>
        <v>0</v>
      </c>
    </row>
    <row r="53" spans="1:53" x14ac:dyDescent="0.3">
      <c r="A53" s="285" t="s">
        <v>311</v>
      </c>
      <c r="B53" s="738"/>
      <c r="C53" s="739"/>
      <c r="D53" s="736"/>
      <c r="E53" s="735"/>
      <c r="F53" s="736"/>
      <c r="G53" s="735"/>
      <c r="H53" s="736"/>
      <c r="I53" s="735"/>
      <c r="J53" s="736"/>
      <c r="K53" s="735"/>
      <c r="L53" s="736"/>
      <c r="M53" s="737"/>
      <c r="N53" s="736"/>
      <c r="O53" s="737"/>
      <c r="P53" s="734"/>
      <c r="Q53" s="737"/>
      <c r="R53" s="734"/>
      <c r="S53" s="737"/>
      <c r="T53" s="734"/>
      <c r="U53" s="737"/>
      <c r="V53" s="734"/>
      <c r="W53" s="737"/>
      <c r="X53" s="734"/>
      <c r="Y53" s="735"/>
      <c r="Z53" s="736"/>
      <c r="AA53" s="735"/>
      <c r="AB53" s="736"/>
      <c r="AC53" s="737"/>
      <c r="AD53" s="734"/>
      <c r="AE53" s="735"/>
      <c r="AF53" s="736"/>
      <c r="AG53" s="735"/>
      <c r="AH53" s="736"/>
      <c r="AI53" s="737"/>
      <c r="AJ53" s="734"/>
      <c r="AK53" s="735"/>
      <c r="AL53" s="736"/>
      <c r="AM53" s="735"/>
      <c r="AN53" s="736"/>
      <c r="AO53" s="735"/>
      <c r="AP53" s="736"/>
      <c r="AQ53" s="735"/>
      <c r="AR53" s="736"/>
      <c r="AS53" s="735"/>
      <c r="AT53" s="736"/>
      <c r="AU53" s="735"/>
      <c r="AV53" s="736">
        <f t="shared" si="0"/>
        <v>0</v>
      </c>
      <c r="AW53" s="735">
        <f t="shared" si="0"/>
        <v>0</v>
      </c>
      <c r="AX53" s="736"/>
      <c r="AY53" s="735"/>
      <c r="AZ53" s="736">
        <f t="shared" si="1"/>
        <v>0</v>
      </c>
      <c r="BA53" s="737">
        <f t="shared" si="1"/>
        <v>0</v>
      </c>
    </row>
    <row r="54" spans="1:53" x14ac:dyDescent="0.3">
      <c r="A54" s="285" t="s">
        <v>312</v>
      </c>
      <c r="B54" s="738"/>
      <c r="C54" s="739"/>
      <c r="D54" s="736">
        <v>79477</v>
      </c>
      <c r="E54" s="735">
        <v>88056</v>
      </c>
      <c r="F54" s="736">
        <v>138729</v>
      </c>
      <c r="G54" s="735">
        <v>150174</v>
      </c>
      <c r="H54" s="736"/>
      <c r="I54" s="735"/>
      <c r="J54" s="736">
        <v>309644</v>
      </c>
      <c r="K54" s="735">
        <v>338599</v>
      </c>
      <c r="L54" s="736"/>
      <c r="M54" s="737"/>
      <c r="N54" s="736">
        <v>24003</v>
      </c>
      <c r="O54" s="737">
        <v>14531</v>
      </c>
      <c r="P54" s="734">
        <v>179202</v>
      </c>
      <c r="Q54" s="737">
        <v>200822</v>
      </c>
      <c r="R54" s="734">
        <v>77666</v>
      </c>
      <c r="S54" s="737"/>
      <c r="T54" s="734">
        <v>205979</v>
      </c>
      <c r="U54" s="737">
        <v>233619</v>
      </c>
      <c r="V54" s="734"/>
      <c r="W54" s="737"/>
      <c r="X54" s="734"/>
      <c r="Y54" s="735"/>
      <c r="Z54" s="736"/>
      <c r="AA54" s="735"/>
      <c r="AB54" s="736">
        <v>42663</v>
      </c>
      <c r="AC54" s="737">
        <v>47608</v>
      </c>
      <c r="AD54" s="734"/>
      <c r="AE54" s="735"/>
      <c r="AF54" s="736"/>
      <c r="AG54" s="735"/>
      <c r="AH54" s="736">
        <v>67626</v>
      </c>
      <c r="AI54" s="737">
        <v>57745</v>
      </c>
      <c r="AJ54" s="734">
        <v>17103</v>
      </c>
      <c r="AK54" s="735">
        <v>3107</v>
      </c>
      <c r="AL54" s="736"/>
      <c r="AM54" s="735"/>
      <c r="AN54" s="736"/>
      <c r="AO54" s="735"/>
      <c r="AP54" s="736"/>
      <c r="AQ54" s="735"/>
      <c r="AR54" s="736"/>
      <c r="AS54" s="735"/>
      <c r="AT54" s="736">
        <v>1268</v>
      </c>
      <c r="AU54" s="735"/>
      <c r="AV54" s="736">
        <f t="shared" si="0"/>
        <v>1143360</v>
      </c>
      <c r="AW54" s="735">
        <f t="shared" si="0"/>
        <v>1134261</v>
      </c>
      <c r="AX54" s="736"/>
      <c r="AY54" s="735"/>
      <c r="AZ54" s="736">
        <f t="shared" si="1"/>
        <v>1143360</v>
      </c>
      <c r="BA54" s="737">
        <f t="shared" si="1"/>
        <v>1134261</v>
      </c>
    </row>
    <row r="55" spans="1:53" x14ac:dyDescent="0.3">
      <c r="A55" s="285" t="s">
        <v>313</v>
      </c>
      <c r="B55" s="738"/>
      <c r="C55" s="739"/>
      <c r="D55" s="736">
        <v>152062</v>
      </c>
      <c r="E55" s="735">
        <v>171546</v>
      </c>
      <c r="F55" s="736"/>
      <c r="G55" s="735"/>
      <c r="H55" s="736"/>
      <c r="I55" s="735"/>
      <c r="J55" s="736"/>
      <c r="K55" s="735"/>
      <c r="L55" s="736"/>
      <c r="M55" s="737"/>
      <c r="N55" s="736"/>
      <c r="O55" s="737"/>
      <c r="P55" s="734"/>
      <c r="Q55" s="737"/>
      <c r="R55" s="734"/>
      <c r="S55" s="737"/>
      <c r="T55" s="734"/>
      <c r="U55" s="737"/>
      <c r="V55" s="734"/>
      <c r="W55" s="737"/>
      <c r="X55" s="734"/>
      <c r="Y55" s="735"/>
      <c r="Z55" s="736">
        <v>4273</v>
      </c>
      <c r="AA55" s="735">
        <v>865</v>
      </c>
      <c r="AB55" s="736">
        <v>405</v>
      </c>
      <c r="AC55" s="737">
        <v>3565</v>
      </c>
      <c r="AD55" s="734"/>
      <c r="AE55" s="735">
        <v>994</v>
      </c>
      <c r="AF55" s="736"/>
      <c r="AG55" s="735"/>
      <c r="AH55" s="736"/>
      <c r="AI55" s="737"/>
      <c r="AJ55" s="734"/>
      <c r="AK55" s="735"/>
      <c r="AL55" s="736"/>
      <c r="AM55" s="735"/>
      <c r="AN55" s="736"/>
      <c r="AO55" s="735"/>
      <c r="AP55" s="736"/>
      <c r="AQ55" s="735"/>
      <c r="AR55" s="736"/>
      <c r="AS55" s="735"/>
      <c r="AT55" s="736"/>
      <c r="AU55" s="735"/>
      <c r="AV55" s="736">
        <f t="shared" si="0"/>
        <v>156740</v>
      </c>
      <c r="AW55" s="735">
        <f t="shared" si="0"/>
        <v>176970</v>
      </c>
      <c r="AX55" s="736"/>
      <c r="AY55" s="735"/>
      <c r="AZ55" s="736">
        <f t="shared" si="1"/>
        <v>156740</v>
      </c>
      <c r="BA55" s="737">
        <f t="shared" si="1"/>
        <v>176970</v>
      </c>
    </row>
    <row r="56" spans="1:53" s="57" customFormat="1" ht="13.5" x14ac:dyDescent="0.25">
      <c r="A56" s="652" t="s">
        <v>293</v>
      </c>
      <c r="B56" s="741">
        <v>5961904</v>
      </c>
      <c r="C56" s="742">
        <v>6878759</v>
      </c>
      <c r="D56" s="745">
        <v>587730</v>
      </c>
      <c r="E56" s="748">
        <v>655642</v>
      </c>
      <c r="F56" s="745">
        <v>1289777</v>
      </c>
      <c r="G56" s="748">
        <v>1359606</v>
      </c>
      <c r="H56" s="745">
        <v>8390692</v>
      </c>
      <c r="I56" s="748">
        <v>8994762</v>
      </c>
      <c r="J56" s="745">
        <v>1389472</v>
      </c>
      <c r="K56" s="748">
        <v>1609967</v>
      </c>
      <c r="L56" s="745">
        <v>2543527</v>
      </c>
      <c r="M56" s="746">
        <v>2951049</v>
      </c>
      <c r="N56" s="745">
        <v>647787</v>
      </c>
      <c r="O56" s="746">
        <v>730045</v>
      </c>
      <c r="P56" s="747">
        <v>729798</v>
      </c>
      <c r="Q56" s="746">
        <v>863397</v>
      </c>
      <c r="R56" s="747">
        <v>2077451</v>
      </c>
      <c r="S56" s="746"/>
      <c r="T56" s="747">
        <v>780740</v>
      </c>
      <c r="U56" s="746">
        <v>926578</v>
      </c>
      <c r="V56" s="747">
        <v>19500380</v>
      </c>
      <c r="W56" s="746">
        <v>23459572</v>
      </c>
      <c r="X56" s="747">
        <v>23672454</v>
      </c>
      <c r="Y56" s="748">
        <v>25126458</v>
      </c>
      <c r="Z56" s="745">
        <v>1370278</v>
      </c>
      <c r="AA56" s="748">
        <v>1504959</v>
      </c>
      <c r="AB56" s="745">
        <v>1828512</v>
      </c>
      <c r="AC56" s="746">
        <v>2161138</v>
      </c>
      <c r="AD56" s="747">
        <v>5214313</v>
      </c>
      <c r="AE56" s="748">
        <v>6049136</v>
      </c>
      <c r="AF56" s="745">
        <v>10336871</v>
      </c>
      <c r="AG56" s="748">
        <v>11964332</v>
      </c>
      <c r="AH56" s="745">
        <v>3321769</v>
      </c>
      <c r="AI56" s="746">
        <v>3898611</v>
      </c>
      <c r="AJ56" s="747">
        <v>2726311</v>
      </c>
      <c r="AK56" s="748">
        <v>3029217</v>
      </c>
      <c r="AL56" s="745"/>
      <c r="AM56" s="748"/>
      <c r="AN56" s="745">
        <v>25728783</v>
      </c>
      <c r="AO56" s="748">
        <v>30075651</v>
      </c>
      <c r="AP56" s="745">
        <v>740411</v>
      </c>
      <c r="AQ56" s="748">
        <v>899549</v>
      </c>
      <c r="AR56" s="745"/>
      <c r="AS56" s="748"/>
      <c r="AT56" s="745">
        <v>5557033</v>
      </c>
      <c r="AU56" s="748">
        <v>6675998</v>
      </c>
      <c r="AV56" s="745">
        <f t="shared" si="0"/>
        <v>124395993</v>
      </c>
      <c r="AW56" s="748">
        <f t="shared" si="0"/>
        <v>139814426</v>
      </c>
      <c r="AX56" s="745">
        <v>407002179</v>
      </c>
      <c r="AY56" s="748">
        <v>450185822</v>
      </c>
      <c r="AZ56" s="745">
        <f t="shared" si="1"/>
        <v>531398172</v>
      </c>
      <c r="BA56" s="746">
        <f t="shared" si="1"/>
        <v>590000248</v>
      </c>
    </row>
    <row r="57" spans="1:53" x14ac:dyDescent="0.3">
      <c r="A57" s="652" t="s">
        <v>314</v>
      </c>
      <c r="B57" s="734"/>
      <c r="C57" s="735"/>
      <c r="D57" s="736"/>
      <c r="E57" s="735"/>
      <c r="F57" s="736"/>
      <c r="G57" s="735"/>
      <c r="H57" s="736"/>
      <c r="I57" s="735"/>
      <c r="J57" s="736"/>
      <c r="K57" s="735"/>
      <c r="L57" s="736"/>
      <c r="M57" s="737"/>
      <c r="N57" s="736"/>
      <c r="O57" s="737"/>
      <c r="P57" s="734"/>
      <c r="Q57" s="737"/>
      <c r="R57" s="734"/>
      <c r="S57" s="737"/>
      <c r="T57" s="734"/>
      <c r="U57" s="737"/>
      <c r="V57" s="734"/>
      <c r="W57" s="737"/>
      <c r="X57" s="734"/>
      <c r="Y57" s="735"/>
      <c r="Z57" s="736"/>
      <c r="AA57" s="735"/>
      <c r="AB57" s="736"/>
      <c r="AC57" s="737"/>
      <c r="AD57" s="734"/>
      <c r="AE57" s="735"/>
      <c r="AF57" s="736"/>
      <c r="AG57" s="735"/>
      <c r="AH57" s="736"/>
      <c r="AI57" s="737"/>
      <c r="AJ57" s="734"/>
      <c r="AK57" s="735"/>
      <c r="AL57" s="736"/>
      <c r="AM57" s="735"/>
      <c r="AN57" s="736"/>
      <c r="AO57" s="735"/>
      <c r="AP57" s="736"/>
      <c r="AQ57" s="735"/>
      <c r="AR57" s="736"/>
      <c r="AS57" s="735"/>
      <c r="AT57" s="736"/>
      <c r="AU57" s="735"/>
      <c r="AV57" s="736">
        <f t="shared" si="0"/>
        <v>0</v>
      </c>
      <c r="AW57" s="735">
        <f t="shared" si="0"/>
        <v>0</v>
      </c>
      <c r="AX57" s="736"/>
      <c r="AY57" s="735"/>
      <c r="AZ57" s="736">
        <f t="shared" si="1"/>
        <v>0</v>
      </c>
      <c r="BA57" s="737">
        <f t="shared" si="1"/>
        <v>0</v>
      </c>
    </row>
    <row r="58" spans="1:53" x14ac:dyDescent="0.3">
      <c r="A58" s="652" t="s">
        <v>0</v>
      </c>
      <c r="B58" s="734"/>
      <c r="C58" s="735"/>
      <c r="D58" s="736"/>
      <c r="E58" s="735"/>
      <c r="F58" s="736"/>
      <c r="G58" s="735"/>
      <c r="H58" s="736"/>
      <c r="I58" s="735"/>
      <c r="J58" s="736"/>
      <c r="K58" s="735"/>
      <c r="L58" s="736"/>
      <c r="M58" s="737"/>
      <c r="N58" s="736"/>
      <c r="O58" s="737"/>
      <c r="P58" s="734"/>
      <c r="Q58" s="737"/>
      <c r="R58" s="734"/>
      <c r="S58" s="737"/>
      <c r="T58" s="734"/>
      <c r="U58" s="737"/>
      <c r="V58" s="734"/>
      <c r="W58" s="737"/>
      <c r="X58" s="734"/>
      <c r="Y58" s="735"/>
      <c r="Z58" s="736"/>
      <c r="AA58" s="735"/>
      <c r="AB58" s="736"/>
      <c r="AC58" s="737"/>
      <c r="AD58" s="734"/>
      <c r="AE58" s="735"/>
      <c r="AF58" s="736"/>
      <c r="AG58" s="735"/>
      <c r="AH58" s="736"/>
      <c r="AI58" s="737"/>
      <c r="AJ58" s="734"/>
      <c r="AK58" s="735"/>
      <c r="AL58" s="736"/>
      <c r="AM58" s="735"/>
      <c r="AN58" s="736"/>
      <c r="AO58" s="735"/>
      <c r="AP58" s="736"/>
      <c r="AQ58" s="735"/>
      <c r="AR58" s="736"/>
      <c r="AS58" s="735"/>
      <c r="AT58" s="736"/>
      <c r="AU58" s="735"/>
      <c r="AV58" s="736">
        <f t="shared" si="0"/>
        <v>0</v>
      </c>
      <c r="AW58" s="735">
        <f t="shared" si="0"/>
        <v>0</v>
      </c>
      <c r="AX58" s="736"/>
      <c r="AY58" s="735"/>
      <c r="AZ58" s="736">
        <f t="shared" si="1"/>
        <v>0</v>
      </c>
      <c r="BA58" s="737">
        <f t="shared" si="1"/>
        <v>0</v>
      </c>
    </row>
    <row r="59" spans="1:53" x14ac:dyDescent="0.3">
      <c r="A59" s="285" t="s">
        <v>315</v>
      </c>
      <c r="B59" s="734">
        <v>24149</v>
      </c>
      <c r="C59" s="735">
        <v>27507</v>
      </c>
      <c r="D59" s="736"/>
      <c r="E59" s="735"/>
      <c r="F59" s="736">
        <v>958</v>
      </c>
      <c r="G59" s="735"/>
      <c r="H59" s="736">
        <v>178235</v>
      </c>
      <c r="I59" s="735">
        <v>128496</v>
      </c>
      <c r="J59" s="736">
        <v>47705</v>
      </c>
      <c r="K59" s="735">
        <v>27250</v>
      </c>
      <c r="L59" s="736"/>
      <c r="M59" s="737"/>
      <c r="N59" s="736">
        <v>31</v>
      </c>
      <c r="O59" s="737">
        <v>31</v>
      </c>
      <c r="P59" s="734"/>
      <c r="Q59" s="737"/>
      <c r="R59" s="734">
        <v>2530</v>
      </c>
      <c r="S59" s="737"/>
      <c r="T59" s="734">
        <v>6166</v>
      </c>
      <c r="U59" s="737">
        <v>9707</v>
      </c>
      <c r="V59" s="734">
        <v>94009</v>
      </c>
      <c r="W59" s="737">
        <v>69700</v>
      </c>
      <c r="X59" s="734">
        <v>69967</v>
      </c>
      <c r="Y59" s="735">
        <v>48297</v>
      </c>
      <c r="Z59" s="736"/>
      <c r="AA59" s="735"/>
      <c r="AB59" s="736">
        <v>688</v>
      </c>
      <c r="AC59" s="737">
        <v>631</v>
      </c>
      <c r="AD59" s="734">
        <v>18265</v>
      </c>
      <c r="AE59" s="735">
        <v>13601</v>
      </c>
      <c r="AF59" s="736">
        <v>10000</v>
      </c>
      <c r="AG59" s="735">
        <v>37006</v>
      </c>
      <c r="AH59" s="736">
        <v>19500</v>
      </c>
      <c r="AI59" s="737">
        <v>7000</v>
      </c>
      <c r="AJ59" s="734">
        <v>2971</v>
      </c>
      <c r="AK59" s="735">
        <v>3156</v>
      </c>
      <c r="AL59" s="736"/>
      <c r="AM59" s="735"/>
      <c r="AN59" s="736">
        <v>72000</v>
      </c>
      <c r="AO59" s="735">
        <v>67500</v>
      </c>
      <c r="AP59" s="736"/>
      <c r="AQ59" s="735"/>
      <c r="AR59" s="736"/>
      <c r="AS59" s="735"/>
      <c r="AT59" s="736">
        <v>928</v>
      </c>
      <c r="AU59" s="735">
        <v>1138</v>
      </c>
      <c r="AV59" s="736">
        <f t="shared" si="0"/>
        <v>548102</v>
      </c>
      <c r="AW59" s="735">
        <f t="shared" si="0"/>
        <v>441020</v>
      </c>
      <c r="AX59" s="736">
        <v>60496</v>
      </c>
      <c r="AY59" s="735">
        <v>60496</v>
      </c>
      <c r="AZ59" s="736">
        <f t="shared" si="1"/>
        <v>608598</v>
      </c>
      <c r="BA59" s="737">
        <f t="shared" si="1"/>
        <v>501516</v>
      </c>
    </row>
    <row r="60" spans="1:53" x14ac:dyDescent="0.3">
      <c r="A60" s="285" t="s">
        <v>316</v>
      </c>
      <c r="B60" s="734">
        <v>234</v>
      </c>
      <c r="C60" s="735">
        <v>234</v>
      </c>
      <c r="D60" s="736"/>
      <c r="E60" s="735"/>
      <c r="F60" s="736">
        <v>136</v>
      </c>
      <c r="G60" s="735">
        <v>75</v>
      </c>
      <c r="H60" s="736"/>
      <c r="I60" s="735"/>
      <c r="J60" s="736">
        <v>5.87</v>
      </c>
      <c r="K60" s="735">
        <v>6</v>
      </c>
      <c r="L60" s="736">
        <v>2</v>
      </c>
      <c r="M60" s="737">
        <v>2</v>
      </c>
      <c r="N60" s="736">
        <v>381</v>
      </c>
      <c r="O60" s="737">
        <v>16</v>
      </c>
      <c r="P60" s="734"/>
      <c r="Q60" s="737"/>
      <c r="R60" s="734"/>
      <c r="S60" s="737"/>
      <c r="T60" s="734">
        <v>358</v>
      </c>
      <c r="U60" s="737">
        <v>465</v>
      </c>
      <c r="V60" s="734"/>
      <c r="W60" s="737"/>
      <c r="X60" s="734">
        <f>80+94</f>
        <v>174</v>
      </c>
      <c r="Y60" s="735">
        <f>5+59+48</f>
        <v>112</v>
      </c>
      <c r="Z60" s="736"/>
      <c r="AA60" s="735"/>
      <c r="AB60" s="736"/>
      <c r="AC60" s="737"/>
      <c r="AD60" s="734">
        <v>35</v>
      </c>
      <c r="AE60" s="735">
        <v>41</v>
      </c>
      <c r="AF60" s="736">
        <v>2498</v>
      </c>
      <c r="AG60" s="735">
        <v>2941</v>
      </c>
      <c r="AH60" s="736">
        <v>109</v>
      </c>
      <c r="AI60" s="737">
        <v>196</v>
      </c>
      <c r="AJ60" s="734">
        <v>109</v>
      </c>
      <c r="AK60" s="735">
        <v>151</v>
      </c>
      <c r="AL60" s="736"/>
      <c r="AM60" s="735"/>
      <c r="AN60" s="736">
        <v>100</v>
      </c>
      <c r="AO60" s="735">
        <v>125</v>
      </c>
      <c r="AP60" s="736"/>
      <c r="AQ60" s="735"/>
      <c r="AR60" s="736"/>
      <c r="AS60" s="735"/>
      <c r="AT60" s="736"/>
      <c r="AU60" s="735"/>
      <c r="AV60" s="736">
        <f t="shared" si="0"/>
        <v>4141.87</v>
      </c>
      <c r="AW60" s="735">
        <f t="shared" si="0"/>
        <v>4364</v>
      </c>
      <c r="AX60" s="736">
        <v>1439</v>
      </c>
      <c r="AY60" s="735">
        <v>1536</v>
      </c>
      <c r="AZ60" s="736">
        <f t="shared" si="1"/>
        <v>5580.87</v>
      </c>
      <c r="BA60" s="737">
        <f t="shared" si="1"/>
        <v>5900</v>
      </c>
    </row>
    <row r="61" spans="1:53" x14ac:dyDescent="0.3">
      <c r="A61" s="285" t="s">
        <v>317</v>
      </c>
      <c r="B61" s="734"/>
      <c r="C61" s="735"/>
      <c r="D61" s="736"/>
      <c r="E61" s="735"/>
      <c r="F61" s="736"/>
      <c r="G61" s="735"/>
      <c r="H61" s="736"/>
      <c r="I61" s="735"/>
      <c r="J61" s="736"/>
      <c r="K61" s="735"/>
      <c r="L61" s="736"/>
      <c r="M61" s="737"/>
      <c r="N61" s="736"/>
      <c r="O61" s="737"/>
      <c r="P61" s="734"/>
      <c r="Q61" s="737"/>
      <c r="R61" s="734"/>
      <c r="S61" s="737"/>
      <c r="T61" s="734"/>
      <c r="U61" s="737"/>
      <c r="V61" s="734">
        <v>1</v>
      </c>
      <c r="W61" s="737"/>
      <c r="X61" s="734"/>
      <c r="Y61" s="735"/>
      <c r="Z61" s="736"/>
      <c r="AA61" s="735"/>
      <c r="AB61" s="736"/>
      <c r="AC61" s="737"/>
      <c r="AD61" s="734"/>
      <c r="AE61" s="735"/>
      <c r="AF61" s="736"/>
      <c r="AG61" s="735"/>
      <c r="AH61" s="736"/>
      <c r="AI61" s="737"/>
      <c r="AJ61" s="734"/>
      <c r="AK61" s="735"/>
      <c r="AL61" s="736"/>
      <c r="AM61" s="735"/>
      <c r="AN61" s="736"/>
      <c r="AO61" s="735"/>
      <c r="AP61" s="736"/>
      <c r="AQ61" s="735"/>
      <c r="AR61" s="736"/>
      <c r="AS61" s="735"/>
      <c r="AT61" s="736"/>
      <c r="AU61" s="735"/>
      <c r="AV61" s="736">
        <f t="shared" si="0"/>
        <v>1</v>
      </c>
      <c r="AW61" s="735">
        <f t="shared" si="0"/>
        <v>0</v>
      </c>
      <c r="AX61" s="736"/>
      <c r="AY61" s="735"/>
      <c r="AZ61" s="736">
        <f t="shared" si="1"/>
        <v>1</v>
      </c>
      <c r="BA61" s="737">
        <f t="shared" si="1"/>
        <v>0</v>
      </c>
    </row>
    <row r="62" spans="1:53" x14ac:dyDescent="0.3">
      <c r="A62" s="285" t="s">
        <v>318</v>
      </c>
      <c r="B62" s="734">
        <v>25</v>
      </c>
      <c r="C62" s="735">
        <v>25</v>
      </c>
      <c r="D62" s="736">
        <v>25</v>
      </c>
      <c r="E62" s="735">
        <v>25</v>
      </c>
      <c r="F62" s="736"/>
      <c r="G62" s="735"/>
      <c r="H62" s="736">
        <v>41</v>
      </c>
      <c r="I62" s="735">
        <v>41</v>
      </c>
      <c r="J62" s="736">
        <v>25</v>
      </c>
      <c r="K62" s="735">
        <v>25</v>
      </c>
      <c r="L62" s="736">
        <v>51</v>
      </c>
      <c r="M62" s="737">
        <v>50</v>
      </c>
      <c r="N62" s="736"/>
      <c r="O62" s="737"/>
      <c r="P62" s="734"/>
      <c r="Q62" s="737"/>
      <c r="R62" s="734"/>
      <c r="S62" s="737"/>
      <c r="T62" s="734"/>
      <c r="U62" s="737"/>
      <c r="V62" s="734">
        <v>35</v>
      </c>
      <c r="W62" s="737">
        <v>61</v>
      </c>
      <c r="X62" s="734"/>
      <c r="Y62" s="735"/>
      <c r="Z62" s="736">
        <v>25</v>
      </c>
      <c r="AA62" s="735">
        <v>25</v>
      </c>
      <c r="AB62" s="736"/>
      <c r="AC62" s="737"/>
      <c r="AD62" s="734">
        <v>45</v>
      </c>
      <c r="AE62" s="735">
        <v>45</v>
      </c>
      <c r="AF62" s="736">
        <v>25</v>
      </c>
      <c r="AG62" s="735">
        <v>25</v>
      </c>
      <c r="AH62" s="736">
        <v>40</v>
      </c>
      <c r="AI62" s="737">
        <v>44</v>
      </c>
      <c r="AJ62" s="734">
        <v>11</v>
      </c>
      <c r="AK62" s="735">
        <v>13</v>
      </c>
      <c r="AL62" s="736"/>
      <c r="AM62" s="735"/>
      <c r="AN62" s="736"/>
      <c r="AO62" s="735"/>
      <c r="AP62" s="736"/>
      <c r="AQ62" s="735">
        <v>25</v>
      </c>
      <c r="AR62" s="736"/>
      <c r="AS62" s="735"/>
      <c r="AT62" s="736">
        <v>86</v>
      </c>
      <c r="AU62" s="735">
        <v>191</v>
      </c>
      <c r="AV62" s="736">
        <f t="shared" si="0"/>
        <v>434</v>
      </c>
      <c r="AW62" s="735">
        <f t="shared" si="0"/>
        <v>595</v>
      </c>
      <c r="AX62" s="736">
        <v>7.94</v>
      </c>
      <c r="AY62" s="735">
        <v>7.98</v>
      </c>
      <c r="AZ62" s="736">
        <f t="shared" si="1"/>
        <v>441.94</v>
      </c>
      <c r="BA62" s="737">
        <f t="shared" si="1"/>
        <v>602.98</v>
      </c>
    </row>
    <row r="63" spans="1:53" x14ac:dyDescent="0.3">
      <c r="A63" s="285" t="s">
        <v>319</v>
      </c>
      <c r="B63" s="734"/>
      <c r="C63" s="735"/>
      <c r="D63" s="736">
        <v>821</v>
      </c>
      <c r="E63" s="735">
        <v>821</v>
      </c>
      <c r="F63" s="736"/>
      <c r="G63" s="735"/>
      <c r="H63" s="736"/>
      <c r="I63" s="735"/>
      <c r="J63" s="736">
        <v>1929</v>
      </c>
      <c r="K63" s="735">
        <v>1923</v>
      </c>
      <c r="L63" s="736">
        <v>15720</v>
      </c>
      <c r="M63" s="737">
        <v>16486</v>
      </c>
      <c r="N63" s="736">
        <v>1285</v>
      </c>
      <c r="O63" s="737">
        <v>1361</v>
      </c>
      <c r="P63" s="734">
        <v>752</v>
      </c>
      <c r="Q63" s="737"/>
      <c r="R63" s="734">
        <v>25356</v>
      </c>
      <c r="S63" s="737"/>
      <c r="T63" s="734">
        <v>515</v>
      </c>
      <c r="U63" s="737">
        <v>519</v>
      </c>
      <c r="V63" s="734">
        <v>10119</v>
      </c>
      <c r="W63" s="737">
        <v>33997</v>
      </c>
      <c r="X63" s="734">
        <v>15370</v>
      </c>
      <c r="Y63" s="735">
        <v>67</v>
      </c>
      <c r="Z63" s="736">
        <v>7924</v>
      </c>
      <c r="AA63" s="735">
        <v>6564</v>
      </c>
      <c r="AB63" s="736">
        <v>7492</v>
      </c>
      <c r="AC63" s="737">
        <v>9210</v>
      </c>
      <c r="AD63" s="734">
        <v>16882</v>
      </c>
      <c r="AE63" s="735">
        <v>24139</v>
      </c>
      <c r="AF63" s="736">
        <v>609</v>
      </c>
      <c r="AG63" s="735"/>
      <c r="AH63" s="736">
        <v>1506</v>
      </c>
      <c r="AI63" s="737">
        <v>1506</v>
      </c>
      <c r="AJ63" s="734">
        <v>16113</v>
      </c>
      <c r="AK63" s="735">
        <v>16062</v>
      </c>
      <c r="AL63" s="736"/>
      <c r="AM63" s="735"/>
      <c r="AN63" s="736"/>
      <c r="AO63" s="735"/>
      <c r="AP63" s="736"/>
      <c r="AQ63" s="735"/>
      <c r="AR63" s="736"/>
      <c r="AS63" s="735"/>
      <c r="AT63" s="736"/>
      <c r="AU63" s="735"/>
      <c r="AV63" s="736">
        <f t="shared" si="0"/>
        <v>122393</v>
      </c>
      <c r="AW63" s="735">
        <f t="shared" si="0"/>
        <v>112655</v>
      </c>
      <c r="AX63" s="736">
        <v>2807979</v>
      </c>
      <c r="AY63" s="735">
        <v>5164384</v>
      </c>
      <c r="AZ63" s="736">
        <f t="shared" si="1"/>
        <v>2930372</v>
      </c>
      <c r="BA63" s="737">
        <f t="shared" si="1"/>
        <v>5277039</v>
      </c>
    </row>
    <row r="64" spans="1:53" x14ac:dyDescent="0.3">
      <c r="A64" s="285" t="s">
        <v>320</v>
      </c>
      <c r="B64" s="734"/>
      <c r="C64" s="735"/>
      <c r="D64" s="736"/>
      <c r="E64" s="735"/>
      <c r="F64" s="736"/>
      <c r="G64" s="735"/>
      <c r="H64" s="736"/>
      <c r="I64" s="735"/>
      <c r="J64" s="736"/>
      <c r="K64" s="735"/>
      <c r="L64" s="736"/>
      <c r="M64" s="737"/>
      <c r="N64" s="736"/>
      <c r="O64" s="737"/>
      <c r="P64" s="734"/>
      <c r="Q64" s="737"/>
      <c r="R64" s="734"/>
      <c r="S64" s="737"/>
      <c r="T64" s="734"/>
      <c r="U64" s="737"/>
      <c r="V64" s="734"/>
      <c r="W64" s="737"/>
      <c r="X64" s="734"/>
      <c r="Y64" s="735"/>
      <c r="Z64" s="736"/>
      <c r="AA64" s="735"/>
      <c r="AB64" s="736"/>
      <c r="AC64" s="737"/>
      <c r="AD64" s="734"/>
      <c r="AE64" s="735"/>
      <c r="AF64" s="736"/>
      <c r="AG64" s="735"/>
      <c r="AH64" s="736"/>
      <c r="AI64" s="737"/>
      <c r="AJ64" s="734"/>
      <c r="AK64" s="735"/>
      <c r="AL64" s="736"/>
      <c r="AM64" s="735"/>
      <c r="AN64" s="736"/>
      <c r="AO64" s="735"/>
      <c r="AP64" s="736"/>
      <c r="AQ64" s="735"/>
      <c r="AR64" s="736"/>
      <c r="AS64" s="735"/>
      <c r="AT64" s="736"/>
      <c r="AU64" s="735"/>
      <c r="AV64" s="736">
        <f t="shared" si="0"/>
        <v>0</v>
      </c>
      <c r="AW64" s="735">
        <f t="shared" si="0"/>
        <v>0</v>
      </c>
      <c r="AX64" s="736"/>
      <c r="AY64" s="735"/>
      <c r="AZ64" s="736">
        <f t="shared" si="1"/>
        <v>0</v>
      </c>
      <c r="BA64" s="737">
        <f t="shared" si="1"/>
        <v>0</v>
      </c>
    </row>
    <row r="65" spans="1:53" x14ac:dyDescent="0.3">
      <c r="A65" s="285" t="s">
        <v>321</v>
      </c>
      <c r="B65" s="734"/>
      <c r="C65" s="735"/>
      <c r="D65" s="736">
        <v>662</v>
      </c>
      <c r="E65" s="735">
        <v>1007</v>
      </c>
      <c r="F65" s="736"/>
      <c r="G65" s="735"/>
      <c r="H65" s="736">
        <v>6523</v>
      </c>
      <c r="I65" s="735">
        <v>7741</v>
      </c>
      <c r="J65" s="736"/>
      <c r="K65" s="735"/>
      <c r="L65" s="736"/>
      <c r="M65" s="737"/>
      <c r="N65" s="736"/>
      <c r="O65" s="737"/>
      <c r="P65" s="734"/>
      <c r="Q65" s="737"/>
      <c r="R65" s="734"/>
      <c r="S65" s="737"/>
      <c r="T65" s="734">
        <v>1440</v>
      </c>
      <c r="U65" s="737">
        <v>2685</v>
      </c>
      <c r="V65" s="734"/>
      <c r="W65" s="737"/>
      <c r="X65" s="734">
        <f>819+11010</f>
        <v>11829</v>
      </c>
      <c r="Y65" s="735">
        <f>881+18605</f>
        <v>19486</v>
      </c>
      <c r="Z65" s="736"/>
      <c r="AA65" s="735"/>
      <c r="AB65" s="736"/>
      <c r="AC65" s="737"/>
      <c r="AD65" s="734"/>
      <c r="AE65" s="735"/>
      <c r="AF65" s="736"/>
      <c r="AG65" s="735"/>
      <c r="AH65" s="736"/>
      <c r="AI65" s="737"/>
      <c r="AJ65" s="734"/>
      <c r="AK65" s="735"/>
      <c r="AL65" s="736"/>
      <c r="AM65" s="735"/>
      <c r="AN65" s="736">
        <v>20087</v>
      </c>
      <c r="AO65" s="735">
        <v>24963</v>
      </c>
      <c r="AP65" s="736"/>
      <c r="AQ65" s="735"/>
      <c r="AR65" s="736"/>
      <c r="AS65" s="735"/>
      <c r="AT65" s="736"/>
      <c r="AU65" s="735"/>
      <c r="AV65" s="736">
        <f t="shared" si="0"/>
        <v>40541</v>
      </c>
      <c r="AW65" s="735">
        <f t="shared" si="0"/>
        <v>55882</v>
      </c>
      <c r="AX65" s="736"/>
      <c r="AY65" s="735"/>
      <c r="AZ65" s="736">
        <f t="shared" si="1"/>
        <v>40541</v>
      </c>
      <c r="BA65" s="737">
        <f t="shared" si="1"/>
        <v>55882</v>
      </c>
    </row>
    <row r="66" spans="1:53" ht="15" thickBot="1" x14ac:dyDescent="0.35">
      <c r="A66" s="825" t="s">
        <v>74</v>
      </c>
      <c r="B66" s="899">
        <v>4718</v>
      </c>
      <c r="C66" s="900">
        <v>4989</v>
      </c>
      <c r="D66" s="901">
        <v>19</v>
      </c>
      <c r="E66" s="900"/>
      <c r="F66" s="901">
        <v>2100</v>
      </c>
      <c r="G66" s="900">
        <v>2070</v>
      </c>
      <c r="H66" s="901">
        <v>703</v>
      </c>
      <c r="I66" s="900">
        <v>812</v>
      </c>
      <c r="J66" s="901">
        <v>3756</v>
      </c>
      <c r="K66" s="900">
        <v>4643</v>
      </c>
      <c r="L66" s="901">
        <v>3899</v>
      </c>
      <c r="M66" s="902">
        <v>4949</v>
      </c>
      <c r="N66" s="901">
        <f>81+2954</f>
        <v>3035</v>
      </c>
      <c r="O66" s="902">
        <f>81+3249</f>
        <v>3330</v>
      </c>
      <c r="P66" s="899">
        <v>172</v>
      </c>
      <c r="Q66" s="902">
        <v>145</v>
      </c>
      <c r="R66" s="899">
        <f>5030+7878</f>
        <v>12908</v>
      </c>
      <c r="S66" s="902"/>
      <c r="T66" s="899">
        <v>9111</v>
      </c>
      <c r="U66" s="902">
        <v>9111</v>
      </c>
      <c r="V66" s="899">
        <v>4329</v>
      </c>
      <c r="W66" s="902">
        <f>4498+138</f>
        <v>4636</v>
      </c>
      <c r="X66" s="899"/>
      <c r="Y66" s="900"/>
      <c r="Z66" s="901">
        <v>1846</v>
      </c>
      <c r="AA66" s="900">
        <v>2128</v>
      </c>
      <c r="AB66" s="901">
        <v>4778</v>
      </c>
      <c r="AC66" s="902">
        <v>7187</v>
      </c>
      <c r="AD66" s="899">
        <v>1894</v>
      </c>
      <c r="AE66" s="900">
        <v>2137</v>
      </c>
      <c r="AF66" s="901">
        <v>8140</v>
      </c>
      <c r="AG66" s="900">
        <v>12006</v>
      </c>
      <c r="AH66" s="901">
        <v>6241</v>
      </c>
      <c r="AI66" s="902">
        <f>7312+150</f>
        <v>7462</v>
      </c>
      <c r="AJ66" s="899">
        <v>3629</v>
      </c>
      <c r="AK66" s="900">
        <v>3733</v>
      </c>
      <c r="AL66" s="901"/>
      <c r="AM66" s="900"/>
      <c r="AN66" s="901">
        <v>27529</v>
      </c>
      <c r="AO66" s="900">
        <v>27529</v>
      </c>
      <c r="AP66" s="901">
        <v>616</v>
      </c>
      <c r="AQ66" s="900">
        <v>742</v>
      </c>
      <c r="AR66" s="901"/>
      <c r="AS66" s="900"/>
      <c r="AT66" s="901">
        <f>171+362+4017</f>
        <v>4550</v>
      </c>
      <c r="AU66" s="900">
        <f>698+11788</f>
        <v>12486</v>
      </c>
      <c r="AV66" s="901">
        <f t="shared" si="0"/>
        <v>103973</v>
      </c>
      <c r="AW66" s="900">
        <f t="shared" si="0"/>
        <v>110095</v>
      </c>
      <c r="AX66" s="901">
        <f>44406+26346</f>
        <v>70752</v>
      </c>
      <c r="AY66" s="900">
        <f>50318+87967</f>
        <v>138285</v>
      </c>
      <c r="AZ66" s="901">
        <f t="shared" si="1"/>
        <v>174725</v>
      </c>
      <c r="BA66" s="902">
        <f t="shared" si="1"/>
        <v>248380</v>
      </c>
    </row>
    <row r="67" spans="1:53" s="57" customFormat="1" ht="15" thickBot="1" x14ac:dyDescent="0.35">
      <c r="A67" s="903" t="s">
        <v>54</v>
      </c>
      <c r="B67" s="904"/>
      <c r="C67" s="905"/>
      <c r="D67" s="906">
        <v>1527</v>
      </c>
      <c r="E67" s="905">
        <v>1853</v>
      </c>
      <c r="F67" s="906"/>
      <c r="G67" s="905"/>
      <c r="H67" s="906">
        <v>185502</v>
      </c>
      <c r="I67" s="905">
        <v>137089</v>
      </c>
      <c r="J67" s="906">
        <v>53420</v>
      </c>
      <c r="K67" s="905">
        <v>33847</v>
      </c>
      <c r="L67" s="907">
        <v>19672</v>
      </c>
      <c r="M67" s="908">
        <v>21487</v>
      </c>
      <c r="N67" s="906">
        <v>4732</v>
      </c>
      <c r="O67" s="909">
        <v>4738</v>
      </c>
      <c r="P67" s="904"/>
      <c r="Q67" s="909"/>
      <c r="R67" s="904">
        <v>40796</v>
      </c>
      <c r="S67" s="909"/>
      <c r="T67" s="904">
        <v>17590</v>
      </c>
      <c r="U67" s="909">
        <v>22488</v>
      </c>
      <c r="V67" s="904">
        <v>108493</v>
      </c>
      <c r="W67" s="909">
        <v>108395</v>
      </c>
      <c r="X67" s="904">
        <v>97340</v>
      </c>
      <c r="Y67" s="905">
        <v>67961</v>
      </c>
      <c r="Z67" s="906">
        <v>9795</v>
      </c>
      <c r="AA67" s="905">
        <v>8717</v>
      </c>
      <c r="AB67" s="906">
        <v>12959</v>
      </c>
      <c r="AC67" s="909">
        <v>17028</v>
      </c>
      <c r="AD67" s="904">
        <v>37121</v>
      </c>
      <c r="AE67" s="905">
        <v>39963</v>
      </c>
      <c r="AF67" s="906">
        <v>21272</v>
      </c>
      <c r="AG67" s="905">
        <v>51978</v>
      </c>
      <c r="AH67" s="906">
        <v>27397</v>
      </c>
      <c r="AI67" s="909">
        <v>16209</v>
      </c>
      <c r="AJ67" s="904">
        <v>22833</v>
      </c>
      <c r="AK67" s="905">
        <v>23114</v>
      </c>
      <c r="AL67" s="906"/>
      <c r="AM67" s="905"/>
      <c r="AN67" s="906">
        <v>119716</v>
      </c>
      <c r="AO67" s="905">
        <v>120117</v>
      </c>
      <c r="AP67" s="906">
        <v>616</v>
      </c>
      <c r="AQ67" s="905">
        <v>767</v>
      </c>
      <c r="AR67" s="906"/>
      <c r="AS67" s="905"/>
      <c r="AT67" s="906">
        <v>5563</v>
      </c>
      <c r="AU67" s="905">
        <v>14001</v>
      </c>
      <c r="AV67" s="906">
        <f t="shared" si="0"/>
        <v>786344</v>
      </c>
      <c r="AW67" s="905">
        <f t="shared" si="0"/>
        <v>689752</v>
      </c>
      <c r="AX67" s="906">
        <v>2940675</v>
      </c>
      <c r="AY67" s="905">
        <v>5364709</v>
      </c>
      <c r="AZ67" s="906">
        <f t="shared" si="1"/>
        <v>3727019</v>
      </c>
      <c r="BA67" s="909">
        <f t="shared" si="1"/>
        <v>6054461</v>
      </c>
    </row>
  </sheetData>
  <mergeCells count="26">
    <mergeCell ref="L1:M1"/>
    <mergeCell ref="B1:C1"/>
    <mergeCell ref="D1:E1"/>
    <mergeCell ref="F1:G1"/>
    <mergeCell ref="H1:I1"/>
    <mergeCell ref="J1:K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BA14"/>
  <sheetViews>
    <sheetView workbookViewId="0">
      <pane xSplit="1" topLeftCell="B1" activePane="topRight" state="frozen"/>
      <selection pane="topRight" sqref="A1:XFD1048576"/>
    </sheetView>
  </sheetViews>
  <sheetFormatPr defaultRowHeight="15" x14ac:dyDescent="0.25"/>
  <cols>
    <col min="1" max="1" width="30.42578125" bestFit="1" customWidth="1"/>
    <col min="2" max="53" width="12.85546875" bestFit="1" customWidth="1"/>
    <col min="54" max="54" width="10.7109375" customWidth="1"/>
    <col min="55" max="55" width="12" customWidth="1"/>
  </cols>
  <sheetData>
    <row r="1" spans="1:53" s="67" customFormat="1" ht="18" x14ac:dyDescent="0.35">
      <c r="A1" s="915" t="s">
        <v>58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5"/>
      <c r="Z1" s="915"/>
      <c r="AA1" s="915"/>
      <c r="AB1" s="915"/>
      <c r="AC1" s="915"/>
      <c r="AD1" s="915"/>
      <c r="AE1" s="915"/>
      <c r="AF1" s="915"/>
      <c r="AG1" s="915"/>
      <c r="AH1" s="915"/>
      <c r="AI1" s="915"/>
      <c r="AJ1" s="915"/>
      <c r="AK1" s="915"/>
      <c r="AL1" s="915"/>
      <c r="AM1" s="915"/>
      <c r="AN1" s="915"/>
      <c r="AO1" s="915"/>
      <c r="AP1" s="915"/>
      <c r="AQ1" s="915"/>
      <c r="AR1" s="915"/>
      <c r="AS1" s="915"/>
      <c r="AT1" s="915"/>
      <c r="AU1" s="915"/>
      <c r="AV1" s="915"/>
      <c r="AW1" s="915"/>
      <c r="AX1" s="915"/>
      <c r="AY1" s="915"/>
      <c r="AZ1" s="915"/>
    </row>
    <row r="2" spans="1:53" s="322" customFormat="1" ht="18" thickBot="1" x14ac:dyDescent="0.4">
      <c r="A2" s="946" t="s">
        <v>330</v>
      </c>
      <c r="B2" s="946"/>
      <c r="C2" s="946"/>
      <c r="D2" s="946"/>
      <c r="E2" s="946"/>
      <c r="F2" s="946"/>
      <c r="G2" s="946"/>
      <c r="H2" s="946"/>
      <c r="I2" s="946"/>
      <c r="J2" s="946"/>
      <c r="K2" s="946"/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  <c r="W2" s="946"/>
      <c r="X2" s="946"/>
      <c r="Y2" s="946"/>
      <c r="Z2" s="946"/>
      <c r="AA2" s="946"/>
      <c r="AB2" s="946"/>
      <c r="AC2" s="946"/>
      <c r="AD2" s="946"/>
      <c r="AE2" s="946"/>
      <c r="AF2" s="946"/>
      <c r="AG2" s="946"/>
      <c r="AH2" s="946"/>
      <c r="AI2" s="946"/>
      <c r="AJ2" s="946"/>
      <c r="AK2" s="946"/>
      <c r="AL2" s="946"/>
      <c r="AM2" s="946"/>
      <c r="AN2" s="946"/>
      <c r="AO2" s="946"/>
      <c r="AP2" s="946"/>
      <c r="AQ2" s="946"/>
      <c r="AR2" s="946"/>
      <c r="AS2" s="946"/>
      <c r="AT2" s="946"/>
      <c r="AU2" s="946"/>
      <c r="AV2" s="946"/>
      <c r="AW2" s="946"/>
      <c r="AX2" s="946"/>
      <c r="AY2" s="946"/>
      <c r="AZ2" s="946"/>
    </row>
    <row r="3" spans="1:53" s="595" customFormat="1" ht="28.5" customHeight="1" thickBot="1" x14ac:dyDescent="0.3">
      <c r="A3" s="947" t="s">
        <v>0</v>
      </c>
      <c r="B3" s="949" t="s">
        <v>113</v>
      </c>
      <c r="C3" s="950"/>
      <c r="D3" s="944" t="s">
        <v>114</v>
      </c>
      <c r="E3" s="945"/>
      <c r="F3" s="943" t="s">
        <v>115</v>
      </c>
      <c r="G3" s="945"/>
      <c r="H3" s="943" t="s">
        <v>116</v>
      </c>
      <c r="I3" s="944"/>
      <c r="J3" s="943" t="s">
        <v>117</v>
      </c>
      <c r="K3" s="945"/>
      <c r="L3" s="943" t="s">
        <v>118</v>
      </c>
      <c r="M3" s="944"/>
      <c r="N3" s="943" t="s">
        <v>218</v>
      </c>
      <c r="O3" s="945"/>
      <c r="P3" s="956" t="s">
        <v>119</v>
      </c>
      <c r="Q3" s="957"/>
      <c r="R3" s="944" t="s">
        <v>120</v>
      </c>
      <c r="S3" s="944"/>
      <c r="T3" s="943" t="s">
        <v>121</v>
      </c>
      <c r="U3" s="945"/>
      <c r="V3" s="943" t="s">
        <v>122</v>
      </c>
      <c r="W3" s="945"/>
      <c r="X3" s="943" t="s">
        <v>123</v>
      </c>
      <c r="Y3" s="945"/>
      <c r="Z3" s="913" t="s">
        <v>223</v>
      </c>
      <c r="AA3" s="914"/>
      <c r="AB3" s="943" t="s">
        <v>124</v>
      </c>
      <c r="AC3" s="944"/>
      <c r="AD3" s="943" t="s">
        <v>125</v>
      </c>
      <c r="AE3" s="945"/>
      <c r="AF3" s="956" t="s">
        <v>126</v>
      </c>
      <c r="AG3" s="957"/>
      <c r="AH3" s="956" t="s">
        <v>127</v>
      </c>
      <c r="AI3" s="957"/>
      <c r="AJ3" s="944" t="s">
        <v>128</v>
      </c>
      <c r="AK3" s="944"/>
      <c r="AL3" s="943" t="s">
        <v>129</v>
      </c>
      <c r="AM3" s="945"/>
      <c r="AN3" s="956" t="s">
        <v>130</v>
      </c>
      <c r="AO3" s="957"/>
      <c r="AP3" s="953" t="s">
        <v>131</v>
      </c>
      <c r="AQ3" s="953"/>
      <c r="AR3" s="954" t="s">
        <v>132</v>
      </c>
      <c r="AS3" s="955"/>
      <c r="AT3" s="953" t="s">
        <v>133</v>
      </c>
      <c r="AU3" s="953"/>
      <c r="AV3" s="954" t="s">
        <v>1</v>
      </c>
      <c r="AW3" s="955"/>
      <c r="AX3" s="953" t="s">
        <v>134</v>
      </c>
      <c r="AY3" s="953"/>
      <c r="AZ3" s="951" t="s">
        <v>2</v>
      </c>
      <c r="BA3" s="952"/>
    </row>
    <row r="4" spans="1:53" s="323" customFormat="1" ht="15.75" thickBot="1" x14ac:dyDescent="0.3">
      <c r="A4" s="948"/>
      <c r="B4" s="321" t="s">
        <v>331</v>
      </c>
      <c r="C4" s="321" t="s">
        <v>390</v>
      </c>
      <c r="D4" s="321" t="s">
        <v>331</v>
      </c>
      <c r="E4" s="321" t="s">
        <v>390</v>
      </c>
      <c r="F4" s="321" t="s">
        <v>331</v>
      </c>
      <c r="G4" s="321" t="s">
        <v>390</v>
      </c>
      <c r="H4" s="321" t="s">
        <v>331</v>
      </c>
      <c r="I4" s="321" t="s">
        <v>390</v>
      </c>
      <c r="J4" s="321" t="s">
        <v>331</v>
      </c>
      <c r="K4" s="321" t="s">
        <v>390</v>
      </c>
      <c r="L4" s="321" t="s">
        <v>331</v>
      </c>
      <c r="M4" s="321" t="s">
        <v>390</v>
      </c>
      <c r="N4" s="321" t="s">
        <v>331</v>
      </c>
      <c r="O4" s="321" t="s">
        <v>390</v>
      </c>
      <c r="P4" s="321" t="s">
        <v>331</v>
      </c>
      <c r="Q4" s="321" t="s">
        <v>390</v>
      </c>
      <c r="R4" s="321" t="s">
        <v>331</v>
      </c>
      <c r="S4" s="321" t="s">
        <v>390</v>
      </c>
      <c r="T4" s="321" t="s">
        <v>331</v>
      </c>
      <c r="U4" s="321" t="s">
        <v>390</v>
      </c>
      <c r="V4" s="321" t="s">
        <v>331</v>
      </c>
      <c r="W4" s="321" t="s">
        <v>390</v>
      </c>
      <c r="X4" s="321" t="s">
        <v>331</v>
      </c>
      <c r="Y4" s="321" t="s">
        <v>390</v>
      </c>
      <c r="Z4" s="321" t="s">
        <v>331</v>
      </c>
      <c r="AA4" s="321" t="s">
        <v>390</v>
      </c>
      <c r="AB4" s="321" t="s">
        <v>331</v>
      </c>
      <c r="AC4" s="321" t="s">
        <v>390</v>
      </c>
      <c r="AD4" s="321" t="s">
        <v>331</v>
      </c>
      <c r="AE4" s="321" t="s">
        <v>390</v>
      </c>
      <c r="AF4" s="321" t="s">
        <v>331</v>
      </c>
      <c r="AG4" s="321" t="s">
        <v>390</v>
      </c>
      <c r="AH4" s="321" t="s">
        <v>331</v>
      </c>
      <c r="AI4" s="321" t="s">
        <v>390</v>
      </c>
      <c r="AJ4" s="321" t="s">
        <v>331</v>
      </c>
      <c r="AK4" s="321" t="s">
        <v>390</v>
      </c>
      <c r="AL4" s="321" t="s">
        <v>331</v>
      </c>
      <c r="AM4" s="321" t="s">
        <v>390</v>
      </c>
      <c r="AN4" s="321" t="s">
        <v>331</v>
      </c>
      <c r="AO4" s="321" t="s">
        <v>390</v>
      </c>
      <c r="AP4" s="321" t="s">
        <v>331</v>
      </c>
      <c r="AQ4" s="321" t="s">
        <v>390</v>
      </c>
      <c r="AR4" s="321" t="s">
        <v>331</v>
      </c>
      <c r="AS4" s="321" t="s">
        <v>390</v>
      </c>
      <c r="AT4" s="321" t="s">
        <v>331</v>
      </c>
      <c r="AU4" s="321" t="s">
        <v>390</v>
      </c>
      <c r="AV4" s="320" t="s">
        <v>331</v>
      </c>
      <c r="AW4" s="320" t="s">
        <v>390</v>
      </c>
      <c r="AX4" s="320" t="s">
        <v>331</v>
      </c>
      <c r="AY4" s="320" t="s">
        <v>390</v>
      </c>
      <c r="AZ4" s="320" t="s">
        <v>331</v>
      </c>
      <c r="BA4" s="320" t="s">
        <v>390</v>
      </c>
    </row>
    <row r="5" spans="1:53" s="71" customFormat="1" ht="14.25" x14ac:dyDescent="0.25">
      <c r="A5" s="249" t="s">
        <v>21</v>
      </c>
      <c r="B5" s="139"/>
      <c r="C5" s="141"/>
      <c r="D5" s="142"/>
      <c r="E5" s="140"/>
      <c r="F5" s="139"/>
      <c r="G5" s="140"/>
      <c r="H5" s="139"/>
      <c r="I5" s="146"/>
      <c r="J5" s="139"/>
      <c r="K5" s="141"/>
      <c r="L5" s="139"/>
      <c r="M5" s="146"/>
      <c r="N5" s="139"/>
      <c r="O5" s="141"/>
      <c r="P5" s="139"/>
      <c r="Q5" s="141"/>
      <c r="R5" s="142"/>
      <c r="S5" s="146"/>
      <c r="T5" s="139"/>
      <c r="U5" s="141"/>
      <c r="V5" s="147"/>
      <c r="W5" s="143"/>
      <c r="X5" s="162"/>
      <c r="Y5" s="164"/>
      <c r="Z5" s="139"/>
      <c r="AA5" s="141"/>
      <c r="AB5" s="142"/>
      <c r="AC5" s="146"/>
      <c r="AD5" s="139"/>
      <c r="AE5" s="141"/>
      <c r="AF5" s="162"/>
      <c r="AG5" s="164"/>
      <c r="AH5" s="162"/>
      <c r="AI5" s="164"/>
      <c r="AJ5" s="142"/>
      <c r="AK5" s="146"/>
      <c r="AL5" s="162"/>
      <c r="AM5" s="164"/>
      <c r="AN5" s="162"/>
      <c r="AO5" s="164"/>
      <c r="AP5" s="142"/>
      <c r="AQ5" s="146"/>
      <c r="AR5" s="162"/>
      <c r="AS5" s="164"/>
      <c r="AT5" s="502"/>
      <c r="AU5" s="163"/>
      <c r="AV5" s="139"/>
      <c r="AW5" s="250"/>
      <c r="AX5" s="142"/>
      <c r="AY5" s="140"/>
      <c r="AZ5" s="139"/>
      <c r="BA5" s="251"/>
    </row>
    <row r="6" spans="1:53" s="71" customFormat="1" ht="14.25" x14ac:dyDescent="0.3">
      <c r="A6" s="68" t="s">
        <v>22</v>
      </c>
      <c r="B6" s="104"/>
      <c r="C6" s="72"/>
      <c r="D6" s="105"/>
      <c r="E6" s="74"/>
      <c r="F6" s="73"/>
      <c r="G6" s="74"/>
      <c r="H6" s="73"/>
      <c r="I6" s="76"/>
      <c r="J6" s="73"/>
      <c r="K6" s="75"/>
      <c r="L6" s="73"/>
      <c r="M6" s="76"/>
      <c r="N6" s="73"/>
      <c r="O6" s="75"/>
      <c r="P6" s="73"/>
      <c r="Q6" s="75"/>
      <c r="R6" s="105"/>
      <c r="S6" s="76"/>
      <c r="T6" s="73"/>
      <c r="U6" s="75"/>
      <c r="V6" s="77"/>
      <c r="W6" s="79"/>
      <c r="X6" s="73"/>
      <c r="Y6" s="75"/>
      <c r="Z6" s="80"/>
      <c r="AA6" s="81"/>
      <c r="AB6" s="105"/>
      <c r="AC6" s="76"/>
      <c r="AD6" s="73"/>
      <c r="AE6" s="75"/>
      <c r="AF6" s="73"/>
      <c r="AG6" s="75"/>
      <c r="AH6" s="73"/>
      <c r="AI6" s="75"/>
      <c r="AJ6" s="105"/>
      <c r="AK6" s="76"/>
      <c r="AL6" s="82"/>
      <c r="AM6" s="75"/>
      <c r="AN6" s="588"/>
      <c r="AO6" s="70"/>
      <c r="AP6" s="105"/>
      <c r="AQ6" s="76"/>
      <c r="AR6" s="593"/>
      <c r="AS6" s="505"/>
      <c r="AT6" s="105"/>
      <c r="AU6" s="74"/>
      <c r="AV6" s="84"/>
      <c r="AW6" s="85"/>
      <c r="AX6" s="253"/>
      <c r="AY6" s="83"/>
      <c r="AZ6" s="84"/>
      <c r="BA6" s="75"/>
    </row>
    <row r="7" spans="1:53" s="71" customFormat="1" ht="14.25" x14ac:dyDescent="0.3">
      <c r="A7" s="245" t="s">
        <v>23</v>
      </c>
      <c r="B7" s="252">
        <v>156211</v>
      </c>
      <c r="C7" s="87">
        <v>195260</v>
      </c>
      <c r="D7" s="106">
        <v>1510</v>
      </c>
      <c r="E7" s="78">
        <v>89</v>
      </c>
      <c r="F7" s="77">
        <v>16997</v>
      </c>
      <c r="G7" s="78">
        <v>17985</v>
      </c>
      <c r="H7" s="77">
        <v>232064</v>
      </c>
      <c r="I7" s="88">
        <v>318049</v>
      </c>
      <c r="J7" s="77">
        <v>46010</v>
      </c>
      <c r="K7" s="79">
        <v>48927</v>
      </c>
      <c r="L7" s="77">
        <v>80957</v>
      </c>
      <c r="M7" s="88">
        <v>95531</v>
      </c>
      <c r="N7" s="77">
        <v>8352</v>
      </c>
      <c r="O7" s="79">
        <v>10890</v>
      </c>
      <c r="P7" s="77">
        <v>25446</v>
      </c>
      <c r="Q7" s="79">
        <v>26836</v>
      </c>
      <c r="R7" s="106">
        <v>55619</v>
      </c>
      <c r="S7" s="88"/>
      <c r="T7" s="77">
        <v>26858</v>
      </c>
      <c r="U7" s="79">
        <v>42551</v>
      </c>
      <c r="V7" s="77">
        <v>547950</v>
      </c>
      <c r="W7" s="79">
        <v>650256</v>
      </c>
      <c r="X7" s="77">
        <v>398504</v>
      </c>
      <c r="Y7" s="79">
        <v>386099</v>
      </c>
      <c r="Z7" s="77">
        <v>23738</v>
      </c>
      <c r="AA7" s="93"/>
      <c r="AB7" s="105">
        <v>88858</v>
      </c>
      <c r="AC7" s="76">
        <v>118590</v>
      </c>
      <c r="AD7" s="77">
        <v>189772</v>
      </c>
      <c r="AE7" s="79">
        <v>201760</v>
      </c>
      <c r="AF7" s="77">
        <v>357441</v>
      </c>
      <c r="AG7" s="75">
        <v>348954</v>
      </c>
      <c r="AH7" s="77">
        <v>113754</v>
      </c>
      <c r="AI7" s="79">
        <v>147857</v>
      </c>
      <c r="AJ7" s="106">
        <v>83074</v>
      </c>
      <c r="AK7" s="88">
        <v>72662</v>
      </c>
      <c r="AL7" s="82"/>
      <c r="AM7" s="75"/>
      <c r="AN7" s="589">
        <v>908798</v>
      </c>
      <c r="AO7" s="473">
        <v>1110743</v>
      </c>
      <c r="AP7" s="106">
        <v>40260</v>
      </c>
      <c r="AQ7" s="88">
        <v>44333</v>
      </c>
      <c r="AR7" s="94">
        <v>104461</v>
      </c>
      <c r="AS7" s="96"/>
      <c r="AT7" s="106">
        <v>286717</v>
      </c>
      <c r="AU7" s="78">
        <v>434148</v>
      </c>
      <c r="AV7" s="97">
        <f t="shared" ref="AV7:AW9" si="0">SUM(B7+D7+F7+H7+J7+L7+N7+P7+R7+T7+V7+X7+Z7+AB7+AD7+AF7+AH7+AJ7+AL7+AN7+AP7+AR7+AT7)</f>
        <v>3793351</v>
      </c>
      <c r="AW7" s="98">
        <f t="shared" si="0"/>
        <v>4271520</v>
      </c>
      <c r="AX7" s="254">
        <v>2203509.4900000002</v>
      </c>
      <c r="AY7" s="95">
        <v>2627875</v>
      </c>
      <c r="AZ7" s="97">
        <f t="shared" ref="AZ7:BA10" si="1">AV7+AX7</f>
        <v>5996860.4900000002</v>
      </c>
      <c r="BA7" s="98">
        <f t="shared" si="1"/>
        <v>6899395</v>
      </c>
    </row>
    <row r="8" spans="1:53" s="71" customFormat="1" ht="14.25" x14ac:dyDescent="0.3">
      <c r="A8" s="245" t="s">
        <v>24</v>
      </c>
      <c r="B8" s="252">
        <v>425843</v>
      </c>
      <c r="C8" s="87">
        <v>486958</v>
      </c>
      <c r="D8" s="106">
        <v>26884</v>
      </c>
      <c r="E8" s="78">
        <v>24324</v>
      </c>
      <c r="F8" s="77">
        <v>61111</v>
      </c>
      <c r="G8" s="78">
        <v>59768</v>
      </c>
      <c r="H8" s="77">
        <v>450809</v>
      </c>
      <c r="I8" s="88">
        <v>557733</v>
      </c>
      <c r="J8" s="77">
        <v>107540</v>
      </c>
      <c r="K8" s="79">
        <v>122425</v>
      </c>
      <c r="L8" s="77">
        <v>198346</v>
      </c>
      <c r="M8" s="88">
        <v>220230</v>
      </c>
      <c r="N8" s="77">
        <v>57326</v>
      </c>
      <c r="O8" s="79">
        <v>58357</v>
      </c>
      <c r="P8" s="77">
        <v>60688</v>
      </c>
      <c r="Q8" s="79">
        <v>70861</v>
      </c>
      <c r="R8" s="106">
        <v>177369</v>
      </c>
      <c r="S8" s="88"/>
      <c r="T8" s="77">
        <v>55519</v>
      </c>
      <c r="U8" s="79">
        <v>59659</v>
      </c>
      <c r="V8" s="77">
        <v>1446684</v>
      </c>
      <c r="W8" s="79">
        <v>1798676</v>
      </c>
      <c r="X8" s="77">
        <v>1515267</v>
      </c>
      <c r="Y8" s="79">
        <v>1528998</v>
      </c>
      <c r="Z8" s="77">
        <v>90219</v>
      </c>
      <c r="AA8" s="93"/>
      <c r="AB8" s="105">
        <v>148490</v>
      </c>
      <c r="AC8" s="76">
        <v>198718</v>
      </c>
      <c r="AD8" s="77">
        <v>399889</v>
      </c>
      <c r="AE8" s="79">
        <v>442677</v>
      </c>
      <c r="AF8" s="77">
        <v>912844</v>
      </c>
      <c r="AG8" s="79">
        <v>1054792</v>
      </c>
      <c r="AH8" s="77">
        <v>319791</v>
      </c>
      <c r="AI8" s="79">
        <v>362256</v>
      </c>
      <c r="AJ8" s="106">
        <v>251039</v>
      </c>
      <c r="AK8" s="88">
        <v>268967</v>
      </c>
      <c r="AL8" s="82"/>
      <c r="AM8" s="75"/>
      <c r="AN8" s="589">
        <v>2245975</v>
      </c>
      <c r="AO8" s="473">
        <v>2578999</v>
      </c>
      <c r="AP8" s="106">
        <v>82102</v>
      </c>
      <c r="AQ8" s="88">
        <v>87924</v>
      </c>
      <c r="AR8" s="94">
        <v>153634</v>
      </c>
      <c r="AS8" s="96"/>
      <c r="AT8" s="106">
        <v>560332</v>
      </c>
      <c r="AU8" s="78">
        <v>753349</v>
      </c>
      <c r="AV8" s="97">
        <f t="shared" si="0"/>
        <v>9747701</v>
      </c>
      <c r="AW8" s="98">
        <f t="shared" si="0"/>
        <v>10735671</v>
      </c>
      <c r="AX8" s="254">
        <v>15793490.220000001</v>
      </c>
      <c r="AY8" s="95">
        <v>16660857</v>
      </c>
      <c r="AZ8" s="97">
        <f t="shared" si="1"/>
        <v>25541191.219999999</v>
      </c>
      <c r="BA8" s="98">
        <f t="shared" si="1"/>
        <v>27396528</v>
      </c>
    </row>
    <row r="9" spans="1:53" s="71" customFormat="1" ht="14.25" x14ac:dyDescent="0.3">
      <c r="A9" s="245" t="s">
        <v>25</v>
      </c>
      <c r="B9" s="252">
        <v>224560</v>
      </c>
      <c r="C9" s="87">
        <v>329134</v>
      </c>
      <c r="D9" s="106">
        <v>33</v>
      </c>
      <c r="E9" s="78">
        <v>295</v>
      </c>
      <c r="F9" s="77">
        <v>1212</v>
      </c>
      <c r="G9" s="78">
        <v>1400</v>
      </c>
      <c r="H9" s="77">
        <v>357958</v>
      </c>
      <c r="I9" s="88">
        <v>426070</v>
      </c>
      <c r="J9" s="77">
        <v>15773</v>
      </c>
      <c r="K9" s="79">
        <v>17694</v>
      </c>
      <c r="L9" s="77">
        <v>110721</v>
      </c>
      <c r="M9" s="88">
        <v>181540</v>
      </c>
      <c r="N9" s="77">
        <v>11502</v>
      </c>
      <c r="O9" s="79">
        <v>31169</v>
      </c>
      <c r="P9" s="77">
        <v>3723</v>
      </c>
      <c r="Q9" s="79">
        <v>3273</v>
      </c>
      <c r="R9" s="106">
        <v>11097</v>
      </c>
      <c r="S9" s="88"/>
      <c r="T9" s="77">
        <v>2031</v>
      </c>
      <c r="U9" s="79">
        <v>1780</v>
      </c>
      <c r="V9" s="77">
        <v>1159523</v>
      </c>
      <c r="W9" s="79">
        <v>1180862</v>
      </c>
      <c r="X9" s="77">
        <v>660965</v>
      </c>
      <c r="Y9" s="79">
        <v>778978</v>
      </c>
      <c r="Z9" s="77">
        <v>30342</v>
      </c>
      <c r="AA9" s="93"/>
      <c r="AB9" s="105">
        <v>115670</v>
      </c>
      <c r="AC9" s="76">
        <v>102645</v>
      </c>
      <c r="AD9" s="77">
        <v>178943</v>
      </c>
      <c r="AE9" s="79">
        <v>268732</v>
      </c>
      <c r="AF9" s="77">
        <v>171175</v>
      </c>
      <c r="AG9" s="79">
        <v>215022</v>
      </c>
      <c r="AH9" s="77">
        <v>39556</v>
      </c>
      <c r="AI9" s="79">
        <v>63968</v>
      </c>
      <c r="AJ9" s="106">
        <v>5723</v>
      </c>
      <c r="AK9" s="88">
        <v>3507</v>
      </c>
      <c r="AL9" s="82"/>
      <c r="AM9" s="75"/>
      <c r="AN9" s="589">
        <v>970341</v>
      </c>
      <c r="AO9" s="473">
        <v>1040463</v>
      </c>
      <c r="AP9" s="106">
        <v>21917</v>
      </c>
      <c r="AQ9" s="88">
        <v>31205</v>
      </c>
      <c r="AR9" s="94">
        <v>26469</v>
      </c>
      <c r="AS9" s="96"/>
      <c r="AT9" s="106">
        <v>43694</v>
      </c>
      <c r="AU9" s="78">
        <v>77053</v>
      </c>
      <c r="AV9" s="97">
        <f t="shared" si="0"/>
        <v>4162928</v>
      </c>
      <c r="AW9" s="98">
        <f t="shared" si="0"/>
        <v>4754790</v>
      </c>
      <c r="AX9" s="254">
        <v>10408466.26</v>
      </c>
      <c r="AY9" s="95">
        <v>14981694</v>
      </c>
      <c r="AZ9" s="97">
        <f t="shared" si="1"/>
        <v>14571394.26</v>
      </c>
      <c r="BA9" s="98">
        <f t="shared" si="1"/>
        <v>19736484</v>
      </c>
    </row>
    <row r="10" spans="1:53" s="71" customFormat="1" ht="14.25" x14ac:dyDescent="0.3">
      <c r="A10" s="247" t="s">
        <v>26</v>
      </c>
      <c r="B10" s="69">
        <f t="shared" ref="B10:I10" si="2">SUM(B7:B9)</f>
        <v>806614</v>
      </c>
      <c r="C10" s="345">
        <f t="shared" si="2"/>
        <v>1011352</v>
      </c>
      <c r="D10" s="100">
        <f t="shared" si="2"/>
        <v>28427</v>
      </c>
      <c r="E10" s="69">
        <f t="shared" si="2"/>
        <v>24708</v>
      </c>
      <c r="F10" s="69">
        <f t="shared" si="2"/>
        <v>79320</v>
      </c>
      <c r="G10" s="69">
        <f t="shared" si="2"/>
        <v>79153</v>
      </c>
      <c r="H10" s="69">
        <f t="shared" si="2"/>
        <v>1040831</v>
      </c>
      <c r="I10" s="341">
        <f t="shared" si="2"/>
        <v>1301852</v>
      </c>
      <c r="J10" s="69">
        <f t="shared" ref="J10:R10" si="3">SUM(J7:J9)</f>
        <v>169323</v>
      </c>
      <c r="K10" s="345">
        <f t="shared" si="3"/>
        <v>189046</v>
      </c>
      <c r="L10" s="69">
        <f t="shared" si="3"/>
        <v>390024</v>
      </c>
      <c r="M10" s="341">
        <f t="shared" si="3"/>
        <v>497301</v>
      </c>
      <c r="N10" s="69">
        <f t="shared" si="3"/>
        <v>77180</v>
      </c>
      <c r="O10" s="345">
        <f t="shared" si="3"/>
        <v>100416</v>
      </c>
      <c r="P10" s="69">
        <f t="shared" si="3"/>
        <v>89857</v>
      </c>
      <c r="Q10" s="345">
        <f t="shared" si="3"/>
        <v>100970</v>
      </c>
      <c r="R10" s="100">
        <f t="shared" si="3"/>
        <v>244085</v>
      </c>
      <c r="S10" s="582">
        <f t="shared" ref="S10:X10" si="4">SUM(S7:S9)</f>
        <v>0</v>
      </c>
      <c r="T10" s="69">
        <f t="shared" si="4"/>
        <v>84408</v>
      </c>
      <c r="U10" s="583">
        <f t="shared" si="4"/>
        <v>103990</v>
      </c>
      <c r="V10" s="69">
        <f t="shared" si="4"/>
        <v>3154157</v>
      </c>
      <c r="W10" s="583">
        <f t="shared" si="4"/>
        <v>3629794</v>
      </c>
      <c r="X10" s="69">
        <f t="shared" si="4"/>
        <v>2574736</v>
      </c>
      <c r="Y10" s="583">
        <f t="shared" ref="Y10:AV10" si="5">SUM(Y7:Y9)</f>
        <v>2694075</v>
      </c>
      <c r="Z10" s="69">
        <f t="shared" si="5"/>
        <v>144299</v>
      </c>
      <c r="AA10" s="583">
        <f t="shared" si="5"/>
        <v>0</v>
      </c>
      <c r="AB10" s="100">
        <f t="shared" si="5"/>
        <v>353018</v>
      </c>
      <c r="AC10" s="582">
        <f t="shared" si="5"/>
        <v>419953</v>
      </c>
      <c r="AD10" s="69">
        <f t="shared" si="5"/>
        <v>768604</v>
      </c>
      <c r="AE10" s="583">
        <f t="shared" si="5"/>
        <v>913169</v>
      </c>
      <c r="AF10" s="69">
        <f t="shared" si="5"/>
        <v>1441460</v>
      </c>
      <c r="AG10" s="583">
        <f t="shared" si="5"/>
        <v>1618768</v>
      </c>
      <c r="AH10" s="69">
        <f t="shared" si="5"/>
        <v>473101</v>
      </c>
      <c r="AI10" s="583">
        <f t="shared" si="5"/>
        <v>574081</v>
      </c>
      <c r="AJ10" s="100">
        <f t="shared" si="5"/>
        <v>339836</v>
      </c>
      <c r="AK10" s="582">
        <f t="shared" si="5"/>
        <v>345136</v>
      </c>
      <c r="AL10" s="69">
        <f t="shared" si="5"/>
        <v>0</v>
      </c>
      <c r="AM10" s="583">
        <f t="shared" si="5"/>
        <v>0</v>
      </c>
      <c r="AN10" s="69">
        <f t="shared" si="5"/>
        <v>4125114</v>
      </c>
      <c r="AO10" s="583">
        <f t="shared" si="5"/>
        <v>4730205</v>
      </c>
      <c r="AP10" s="100">
        <f t="shared" si="5"/>
        <v>144279</v>
      </c>
      <c r="AQ10" s="582">
        <f t="shared" si="5"/>
        <v>163462</v>
      </c>
      <c r="AR10" s="69">
        <f t="shared" si="5"/>
        <v>284564</v>
      </c>
      <c r="AS10" s="583">
        <f t="shared" si="5"/>
        <v>0</v>
      </c>
      <c r="AT10" s="100">
        <f t="shared" si="5"/>
        <v>890743</v>
      </c>
      <c r="AU10" s="100">
        <f t="shared" si="5"/>
        <v>1264550</v>
      </c>
      <c r="AV10" s="345">
        <f t="shared" si="5"/>
        <v>17703980</v>
      </c>
      <c r="AW10" s="98">
        <f>SUM(C10+E10+G10+I10+K10+M10+O10+Q10+S10+U10+W10+Y10+AA10+AC10+AE10+AG10+AI10+AK10+AM10+AO10+AQ10+AS10+AU10)</f>
        <v>19761981</v>
      </c>
      <c r="AX10" s="107">
        <f>SUM(AX7:AX9)</f>
        <v>28405465.969999999</v>
      </c>
      <c r="AY10" s="107">
        <f>SUM(AY7:AY9)</f>
        <v>34270426</v>
      </c>
      <c r="AZ10" s="97">
        <f t="shared" si="1"/>
        <v>46109445.969999999</v>
      </c>
      <c r="BA10" s="98">
        <f t="shared" si="1"/>
        <v>54032407</v>
      </c>
    </row>
    <row r="11" spans="1:53" s="71" customFormat="1" ht="14.25" x14ac:dyDescent="0.3">
      <c r="A11" s="245" t="s">
        <v>27</v>
      </c>
      <c r="B11" s="252"/>
      <c r="C11" s="87"/>
      <c r="D11" s="106"/>
      <c r="E11" s="78"/>
      <c r="F11" s="77"/>
      <c r="G11" s="78"/>
      <c r="H11" s="77"/>
      <c r="I11" s="88"/>
      <c r="J11" s="77"/>
      <c r="K11" s="79"/>
      <c r="L11" s="77"/>
      <c r="M11" s="88"/>
      <c r="N11" s="77"/>
      <c r="O11" s="79"/>
      <c r="P11" s="77"/>
      <c r="Q11" s="79"/>
      <c r="R11" s="106"/>
      <c r="S11" s="88"/>
      <c r="T11" s="77"/>
      <c r="U11" s="79"/>
      <c r="V11" s="77"/>
      <c r="W11" s="79"/>
      <c r="X11" s="77"/>
      <c r="Y11" s="79"/>
      <c r="Z11" s="77"/>
      <c r="AA11" s="79"/>
      <c r="AB11" s="105"/>
      <c r="AC11" s="76"/>
      <c r="AD11" s="77"/>
      <c r="AE11" s="79"/>
      <c r="AF11" s="77"/>
      <c r="AG11" s="79"/>
      <c r="AH11" s="77"/>
      <c r="AI11" s="79"/>
      <c r="AJ11" s="106"/>
      <c r="AK11" s="88"/>
      <c r="AL11" s="82"/>
      <c r="AM11" s="75"/>
      <c r="AN11" s="588"/>
      <c r="AO11" s="70"/>
      <c r="AP11" s="106"/>
      <c r="AQ11" s="88"/>
      <c r="AR11" s="94"/>
      <c r="AS11" s="96"/>
      <c r="AT11" s="106"/>
      <c r="AU11" s="78"/>
      <c r="AV11" s="97"/>
      <c r="AW11" s="98"/>
      <c r="AX11" s="254"/>
      <c r="AY11" s="95"/>
      <c r="AZ11" s="97"/>
      <c r="BA11" s="98"/>
    </row>
    <row r="12" spans="1:53" s="71" customFormat="1" ht="14.25" x14ac:dyDescent="0.3">
      <c r="A12" s="245" t="s">
        <v>28</v>
      </c>
      <c r="B12" s="252">
        <f t="shared" ref="B12:L12" si="6">B10</f>
        <v>806614</v>
      </c>
      <c r="C12" s="594">
        <f t="shared" si="6"/>
        <v>1011352</v>
      </c>
      <c r="D12" s="107">
        <f t="shared" si="6"/>
        <v>28427</v>
      </c>
      <c r="E12" s="107">
        <f t="shared" si="6"/>
        <v>24708</v>
      </c>
      <c r="F12" s="97">
        <v>76983</v>
      </c>
      <c r="G12" s="107">
        <v>79153</v>
      </c>
      <c r="H12" s="97">
        <f t="shared" si="6"/>
        <v>1040831</v>
      </c>
      <c r="I12" s="108">
        <f t="shared" si="6"/>
        <v>1301852</v>
      </c>
      <c r="J12" s="97">
        <f t="shared" si="6"/>
        <v>169323</v>
      </c>
      <c r="K12" s="109">
        <f t="shared" si="6"/>
        <v>189046</v>
      </c>
      <c r="L12" s="97">
        <f t="shared" si="6"/>
        <v>390024</v>
      </c>
      <c r="M12" s="108">
        <f t="shared" ref="M12:Y12" si="7">M10</f>
        <v>497301</v>
      </c>
      <c r="N12" s="97">
        <f t="shared" si="7"/>
        <v>77180</v>
      </c>
      <c r="O12" s="109">
        <f t="shared" si="7"/>
        <v>100416</v>
      </c>
      <c r="P12" s="97">
        <f t="shared" si="7"/>
        <v>89857</v>
      </c>
      <c r="Q12" s="109">
        <f t="shared" si="7"/>
        <v>100970</v>
      </c>
      <c r="R12" s="107">
        <f t="shared" si="7"/>
        <v>244085</v>
      </c>
      <c r="S12" s="108">
        <f t="shared" si="7"/>
        <v>0</v>
      </c>
      <c r="T12" s="97">
        <f t="shared" si="7"/>
        <v>84408</v>
      </c>
      <c r="U12" s="109">
        <f t="shared" si="7"/>
        <v>103990</v>
      </c>
      <c r="V12" s="97">
        <f t="shared" si="7"/>
        <v>3154157</v>
      </c>
      <c r="W12" s="109">
        <f t="shared" si="7"/>
        <v>3629794</v>
      </c>
      <c r="X12" s="97">
        <f t="shared" si="7"/>
        <v>2574736</v>
      </c>
      <c r="Y12" s="109">
        <f t="shared" si="7"/>
        <v>2694075</v>
      </c>
      <c r="Z12" s="77">
        <f>Z10</f>
        <v>144299</v>
      </c>
      <c r="AA12" s="503">
        <f>AA10</f>
        <v>0</v>
      </c>
      <c r="AB12" s="105">
        <f>AB10</f>
        <v>353018</v>
      </c>
      <c r="AC12" s="584">
        <f>AC10</f>
        <v>419953</v>
      </c>
      <c r="AD12" s="77">
        <f>AD10</f>
        <v>768604</v>
      </c>
      <c r="AE12" s="500">
        <f t="shared" ref="AE12:AS12" si="8">AE10</f>
        <v>913169</v>
      </c>
      <c r="AF12" s="77">
        <f t="shared" si="8"/>
        <v>1441460</v>
      </c>
      <c r="AG12" s="500">
        <f t="shared" si="8"/>
        <v>1618768</v>
      </c>
      <c r="AH12" s="77">
        <f t="shared" si="8"/>
        <v>473101</v>
      </c>
      <c r="AI12" s="500">
        <f t="shared" si="8"/>
        <v>574081</v>
      </c>
      <c r="AJ12" s="106">
        <f t="shared" si="8"/>
        <v>339836</v>
      </c>
      <c r="AK12" s="586">
        <f t="shared" si="8"/>
        <v>345136</v>
      </c>
      <c r="AL12" s="77">
        <f t="shared" si="8"/>
        <v>0</v>
      </c>
      <c r="AM12" s="500">
        <f t="shared" si="8"/>
        <v>0</v>
      </c>
      <c r="AN12" s="77">
        <f t="shared" si="8"/>
        <v>4125114</v>
      </c>
      <c r="AO12" s="500">
        <f t="shared" si="8"/>
        <v>4730205</v>
      </c>
      <c r="AP12" s="106">
        <f t="shared" si="8"/>
        <v>144279</v>
      </c>
      <c r="AQ12" s="586">
        <f t="shared" si="8"/>
        <v>163462</v>
      </c>
      <c r="AR12" s="77">
        <f t="shared" si="8"/>
        <v>284564</v>
      </c>
      <c r="AS12" s="500">
        <f t="shared" si="8"/>
        <v>0</v>
      </c>
      <c r="AT12" s="254">
        <f>AT10</f>
        <v>890743</v>
      </c>
      <c r="AU12" s="95">
        <f>AU10</f>
        <v>1264550</v>
      </c>
      <c r="AV12" s="501">
        <f>AV10</f>
        <v>17703980</v>
      </c>
      <c r="AW12" s="98">
        <f>SUM(C12+E12+G12+I12+K12+M12+O12+Q12+S12+U12+W12+Y12+AA12+AC12+AE12+AG12+AI12+AK12+AM12+AO12+AQ12+AS12+AU12)</f>
        <v>19761981</v>
      </c>
      <c r="AX12" s="254">
        <f>AX10</f>
        <v>28405465.969999999</v>
      </c>
      <c r="AY12" s="254">
        <f>AY10</f>
        <v>34270426</v>
      </c>
      <c r="AZ12" s="97">
        <f>AV12+AX12</f>
        <v>46109445.969999999</v>
      </c>
      <c r="BA12" s="98">
        <f>AW12+AY12</f>
        <v>54032407</v>
      </c>
    </row>
    <row r="13" spans="1:53" s="71" customFormat="1" ht="14.25" x14ac:dyDescent="0.3">
      <c r="A13" s="68" t="s">
        <v>29</v>
      </c>
      <c r="B13" s="252"/>
      <c r="C13" s="87"/>
      <c r="D13" s="106"/>
      <c r="E13" s="78"/>
      <c r="F13" s="77">
        <v>2337</v>
      </c>
      <c r="G13" s="78"/>
      <c r="H13" s="77"/>
      <c r="I13" s="88"/>
      <c r="J13" s="77"/>
      <c r="K13" s="79"/>
      <c r="L13" s="77"/>
      <c r="M13" s="88"/>
      <c r="N13" s="77"/>
      <c r="O13" s="79"/>
      <c r="P13" s="77"/>
      <c r="Q13" s="79"/>
      <c r="R13" s="106"/>
      <c r="S13" s="88"/>
      <c r="T13" s="77"/>
      <c r="U13" s="79"/>
      <c r="V13" s="77"/>
      <c r="W13" s="79"/>
      <c r="X13" s="77"/>
      <c r="Y13" s="79"/>
      <c r="Z13" s="77"/>
      <c r="AA13" s="79"/>
      <c r="AB13" s="105"/>
      <c r="AC13" s="76"/>
      <c r="AD13" s="77"/>
      <c r="AE13" s="79"/>
      <c r="AF13" s="77"/>
      <c r="AG13" s="79"/>
      <c r="AH13" s="77"/>
      <c r="AI13" s="79"/>
      <c r="AJ13" s="106"/>
      <c r="AK13" s="88"/>
      <c r="AL13" s="82"/>
      <c r="AM13" s="75"/>
      <c r="AN13" s="590"/>
      <c r="AO13" s="70"/>
      <c r="AP13" s="106"/>
      <c r="AQ13" s="88"/>
      <c r="AR13" s="94"/>
      <c r="AS13" s="96"/>
      <c r="AT13" s="106"/>
      <c r="AU13" s="78"/>
      <c r="AV13" s="97"/>
      <c r="AW13" s="98"/>
      <c r="AX13" s="254">
        <v>30318</v>
      </c>
      <c r="AY13" s="95">
        <v>29719</v>
      </c>
      <c r="AZ13" s="97"/>
      <c r="BA13" s="98"/>
    </row>
    <row r="14" spans="1:53" s="338" customFormat="1" thickBot="1" x14ac:dyDescent="0.35">
      <c r="A14" s="324" t="s">
        <v>26</v>
      </c>
      <c r="B14" s="325">
        <f>B10</f>
        <v>806614</v>
      </c>
      <c r="C14" s="326">
        <f t="shared" ref="C14:W14" si="9">C10</f>
        <v>1011352</v>
      </c>
      <c r="D14" s="327">
        <f t="shared" si="9"/>
        <v>28427</v>
      </c>
      <c r="E14" s="327">
        <f t="shared" si="9"/>
        <v>24708</v>
      </c>
      <c r="F14" s="325">
        <f t="shared" si="9"/>
        <v>79320</v>
      </c>
      <c r="G14" s="327">
        <f t="shared" si="9"/>
        <v>79153</v>
      </c>
      <c r="H14" s="325">
        <f t="shared" si="9"/>
        <v>1040831</v>
      </c>
      <c r="I14" s="328">
        <f t="shared" si="9"/>
        <v>1301852</v>
      </c>
      <c r="J14" s="325">
        <f t="shared" si="9"/>
        <v>169323</v>
      </c>
      <c r="K14" s="329">
        <f t="shared" si="9"/>
        <v>189046</v>
      </c>
      <c r="L14" s="325">
        <f t="shared" si="9"/>
        <v>390024</v>
      </c>
      <c r="M14" s="328">
        <f t="shared" si="9"/>
        <v>497301</v>
      </c>
      <c r="N14" s="325">
        <f t="shared" si="9"/>
        <v>77180</v>
      </c>
      <c r="O14" s="329">
        <f t="shared" si="9"/>
        <v>100416</v>
      </c>
      <c r="P14" s="325">
        <f t="shared" si="9"/>
        <v>89857</v>
      </c>
      <c r="Q14" s="329">
        <f t="shared" si="9"/>
        <v>100970</v>
      </c>
      <c r="R14" s="327">
        <f t="shared" si="9"/>
        <v>244085</v>
      </c>
      <c r="S14" s="328">
        <f t="shared" si="9"/>
        <v>0</v>
      </c>
      <c r="T14" s="325">
        <f t="shared" si="9"/>
        <v>84408</v>
      </c>
      <c r="U14" s="329">
        <f t="shared" si="9"/>
        <v>103990</v>
      </c>
      <c r="V14" s="325">
        <f t="shared" si="9"/>
        <v>3154157</v>
      </c>
      <c r="W14" s="329">
        <f t="shared" si="9"/>
        <v>3629794</v>
      </c>
      <c r="X14" s="331">
        <f t="shared" ref="X14:AD14" si="10">X10</f>
        <v>2574736</v>
      </c>
      <c r="Y14" s="414">
        <f t="shared" si="10"/>
        <v>2694075</v>
      </c>
      <c r="Z14" s="331">
        <f t="shared" si="10"/>
        <v>144299</v>
      </c>
      <c r="AA14" s="414">
        <f t="shared" si="10"/>
        <v>0</v>
      </c>
      <c r="AB14" s="333">
        <f t="shared" si="10"/>
        <v>353018</v>
      </c>
      <c r="AC14" s="585">
        <f t="shared" si="10"/>
        <v>419953</v>
      </c>
      <c r="AD14" s="331">
        <f t="shared" si="10"/>
        <v>768604</v>
      </c>
      <c r="AE14" s="332">
        <f t="shared" ref="AE14:AV14" si="11">AE10</f>
        <v>913169</v>
      </c>
      <c r="AF14" s="331">
        <f t="shared" si="11"/>
        <v>1441460</v>
      </c>
      <c r="AG14" s="414">
        <f t="shared" si="11"/>
        <v>1618768</v>
      </c>
      <c r="AH14" s="331">
        <f t="shared" si="11"/>
        <v>473101</v>
      </c>
      <c r="AI14" s="414">
        <f t="shared" si="11"/>
        <v>574081</v>
      </c>
      <c r="AJ14" s="330">
        <f t="shared" si="11"/>
        <v>339836</v>
      </c>
      <c r="AK14" s="587">
        <f t="shared" si="11"/>
        <v>345136</v>
      </c>
      <c r="AL14" s="331">
        <f t="shared" si="11"/>
        <v>0</v>
      </c>
      <c r="AM14" s="414">
        <f t="shared" si="11"/>
        <v>0</v>
      </c>
      <c r="AN14" s="591">
        <f t="shared" si="11"/>
        <v>4125114</v>
      </c>
      <c r="AO14" s="415">
        <f t="shared" si="11"/>
        <v>4730205</v>
      </c>
      <c r="AP14" s="330">
        <f t="shared" si="11"/>
        <v>144279</v>
      </c>
      <c r="AQ14" s="592">
        <f t="shared" si="11"/>
        <v>163462</v>
      </c>
      <c r="AR14" s="335">
        <f t="shared" si="11"/>
        <v>284564</v>
      </c>
      <c r="AS14" s="337">
        <f t="shared" si="11"/>
        <v>0</v>
      </c>
      <c r="AT14" s="334">
        <f t="shared" si="11"/>
        <v>890743</v>
      </c>
      <c r="AU14" s="336">
        <f t="shared" si="11"/>
        <v>1264550</v>
      </c>
      <c r="AV14" s="331">
        <f t="shared" si="11"/>
        <v>17703980</v>
      </c>
      <c r="AW14" s="332">
        <f>SUM(C14+E14+G14+I14+K14+M14+O14+Q14+S14+U14+W14+Y14+AA14+AC14+AE14+AG14+AI14+AK14+AM14+AO14+AQ14+AS14+AU14)</f>
        <v>19761981</v>
      </c>
      <c r="AX14" s="334">
        <f>AX10+AX13</f>
        <v>28435783.969999999</v>
      </c>
      <c r="AY14" s="334">
        <v>34270426</v>
      </c>
      <c r="AZ14" s="331">
        <f>AV14+AX14</f>
        <v>46139763.969999999</v>
      </c>
      <c r="BA14" s="332">
        <f>AW14+AY14</f>
        <v>54032407</v>
      </c>
    </row>
  </sheetData>
  <mergeCells count="29">
    <mergeCell ref="AT3:AU3"/>
    <mergeCell ref="AV3:AW3"/>
    <mergeCell ref="AX3:AY3"/>
    <mergeCell ref="N3:O3"/>
    <mergeCell ref="AB3:AC3"/>
    <mergeCell ref="P3:Q3"/>
    <mergeCell ref="R3:S3"/>
    <mergeCell ref="T3:U3"/>
    <mergeCell ref="AD3:AE3"/>
    <mergeCell ref="AF3:AG3"/>
    <mergeCell ref="AH3:AI3"/>
    <mergeCell ref="AN3:AO3"/>
    <mergeCell ref="AR3:AS3"/>
    <mergeCell ref="H3:I3"/>
    <mergeCell ref="X3:Y3"/>
    <mergeCell ref="A1:AZ1"/>
    <mergeCell ref="A2:AZ2"/>
    <mergeCell ref="A3:A4"/>
    <mergeCell ref="B3:C3"/>
    <mergeCell ref="D3:E3"/>
    <mergeCell ref="AJ3:AK3"/>
    <mergeCell ref="AZ3:BA3"/>
    <mergeCell ref="V3:W3"/>
    <mergeCell ref="F3:G3"/>
    <mergeCell ref="Z3:AA3"/>
    <mergeCell ref="AP3:AQ3"/>
    <mergeCell ref="AL3:AM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A28"/>
  <sheetViews>
    <sheetView workbookViewId="0">
      <pane xSplit="1" topLeftCell="B1" activePane="topRight" state="frozen"/>
      <selection pane="topRight" sqref="A1:XFD1048576"/>
    </sheetView>
  </sheetViews>
  <sheetFormatPr defaultRowHeight="12.75" x14ac:dyDescent="0.25"/>
  <cols>
    <col min="1" max="1" width="50.42578125" style="150" bestFit="1" customWidth="1"/>
    <col min="2" max="53" width="12.85546875" style="150" bestFit="1" customWidth="1"/>
    <col min="54" max="16384" width="9.140625" style="150"/>
  </cols>
  <sheetData>
    <row r="1" spans="1:53" s="160" customFormat="1" ht="14.25" x14ac:dyDescent="0.3">
      <c r="A1" s="930" t="s">
        <v>109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930"/>
      <c r="AS1" s="930"/>
      <c r="AT1" s="930"/>
      <c r="AU1" s="930"/>
      <c r="AV1" s="930"/>
      <c r="AW1" s="930"/>
      <c r="AX1" s="930"/>
      <c r="AY1" s="930"/>
      <c r="AZ1" s="930"/>
    </row>
    <row r="2" spans="1:53" s="339" customFormat="1" ht="16.5" thickBot="1" x14ac:dyDescent="0.4">
      <c r="A2" s="963" t="s">
        <v>330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  <c r="O2" s="963"/>
      <c r="P2" s="963"/>
      <c r="Q2" s="963"/>
      <c r="R2" s="963"/>
      <c r="S2" s="963"/>
      <c r="T2" s="963"/>
      <c r="U2" s="963"/>
      <c r="V2" s="963"/>
      <c r="W2" s="963"/>
      <c r="X2" s="963"/>
      <c r="Y2" s="963"/>
      <c r="Z2" s="963"/>
      <c r="AA2" s="963"/>
      <c r="AB2" s="963"/>
      <c r="AC2" s="963"/>
      <c r="AD2" s="963"/>
      <c r="AE2" s="963"/>
      <c r="AF2" s="963"/>
      <c r="AG2" s="963"/>
      <c r="AH2" s="963"/>
      <c r="AI2" s="963"/>
      <c r="AJ2" s="963"/>
      <c r="AK2" s="963"/>
      <c r="AL2" s="963"/>
      <c r="AM2" s="963"/>
      <c r="AN2" s="963"/>
      <c r="AO2" s="963"/>
      <c r="AP2" s="963"/>
      <c r="AQ2" s="963"/>
      <c r="AR2" s="963"/>
      <c r="AS2" s="963"/>
      <c r="AT2" s="963"/>
      <c r="AU2" s="963"/>
      <c r="AV2" s="963"/>
      <c r="AW2" s="963"/>
      <c r="AX2" s="963"/>
      <c r="AY2" s="963"/>
      <c r="AZ2" s="963"/>
    </row>
    <row r="3" spans="1:53" ht="27" customHeight="1" thickBot="1" x14ac:dyDescent="0.3">
      <c r="A3" s="964" t="s">
        <v>0</v>
      </c>
      <c r="B3" s="966" t="s">
        <v>113</v>
      </c>
      <c r="C3" s="967"/>
      <c r="D3" s="958" t="s">
        <v>114</v>
      </c>
      <c r="E3" s="959"/>
      <c r="F3" s="958" t="s">
        <v>115</v>
      </c>
      <c r="G3" s="959"/>
      <c r="H3" s="958" t="s">
        <v>116</v>
      </c>
      <c r="I3" s="959"/>
      <c r="J3" s="958" t="s">
        <v>117</v>
      </c>
      <c r="K3" s="959"/>
      <c r="L3" s="958" t="s">
        <v>118</v>
      </c>
      <c r="M3" s="959"/>
      <c r="N3" s="960" t="s">
        <v>218</v>
      </c>
      <c r="O3" s="912"/>
      <c r="P3" s="960" t="s">
        <v>119</v>
      </c>
      <c r="Q3" s="912"/>
      <c r="R3" s="958" t="s">
        <v>120</v>
      </c>
      <c r="S3" s="959"/>
      <c r="T3" s="958" t="s">
        <v>121</v>
      </c>
      <c r="U3" s="959"/>
      <c r="V3" s="958" t="s">
        <v>122</v>
      </c>
      <c r="W3" s="959"/>
      <c r="X3" s="958" t="s">
        <v>123</v>
      </c>
      <c r="Y3" s="959"/>
      <c r="Z3" s="914" t="s">
        <v>223</v>
      </c>
      <c r="AA3" s="962"/>
      <c r="AB3" s="961" t="s">
        <v>124</v>
      </c>
      <c r="AC3" s="959"/>
      <c r="AD3" s="958" t="s">
        <v>125</v>
      </c>
      <c r="AE3" s="959"/>
      <c r="AF3" s="958" t="s">
        <v>126</v>
      </c>
      <c r="AG3" s="959"/>
      <c r="AH3" s="958" t="s">
        <v>127</v>
      </c>
      <c r="AI3" s="959"/>
      <c r="AJ3" s="958" t="s">
        <v>128</v>
      </c>
      <c r="AK3" s="959"/>
      <c r="AL3" s="958" t="s">
        <v>129</v>
      </c>
      <c r="AM3" s="959"/>
      <c r="AN3" s="958" t="s">
        <v>130</v>
      </c>
      <c r="AO3" s="959"/>
      <c r="AP3" s="958" t="s">
        <v>131</v>
      </c>
      <c r="AQ3" s="959"/>
      <c r="AR3" s="958" t="s">
        <v>132</v>
      </c>
      <c r="AS3" s="959"/>
      <c r="AT3" s="958" t="s">
        <v>133</v>
      </c>
      <c r="AU3" s="959"/>
      <c r="AV3" s="958" t="s">
        <v>1</v>
      </c>
      <c r="AW3" s="959"/>
      <c r="AX3" s="958" t="s">
        <v>134</v>
      </c>
      <c r="AY3" s="959"/>
      <c r="AZ3" s="958" t="s">
        <v>2</v>
      </c>
      <c r="BA3" s="959"/>
    </row>
    <row r="4" spans="1:53" s="339" customFormat="1" ht="14.25" thickBot="1" x14ac:dyDescent="0.3">
      <c r="A4" s="965"/>
      <c r="B4" s="318" t="s">
        <v>331</v>
      </c>
      <c r="C4" s="320" t="s">
        <v>390</v>
      </c>
      <c r="D4" s="319" t="s">
        <v>331</v>
      </c>
      <c r="E4" s="320" t="s">
        <v>390</v>
      </c>
      <c r="F4" s="319" t="s">
        <v>331</v>
      </c>
      <c r="G4" s="320" t="s">
        <v>390</v>
      </c>
      <c r="H4" s="319" t="s">
        <v>331</v>
      </c>
      <c r="I4" s="320" t="s">
        <v>390</v>
      </c>
      <c r="J4" s="319" t="s">
        <v>331</v>
      </c>
      <c r="K4" s="320" t="s">
        <v>390</v>
      </c>
      <c r="L4" s="319" t="s">
        <v>331</v>
      </c>
      <c r="M4" s="320" t="s">
        <v>390</v>
      </c>
      <c r="N4" s="318" t="s">
        <v>331</v>
      </c>
      <c r="O4" s="320" t="s">
        <v>390</v>
      </c>
      <c r="P4" s="319" t="s">
        <v>331</v>
      </c>
      <c r="Q4" s="320" t="s">
        <v>390</v>
      </c>
      <c r="R4" s="319" t="s">
        <v>331</v>
      </c>
      <c r="S4" s="320" t="s">
        <v>390</v>
      </c>
      <c r="T4" s="319" t="s">
        <v>331</v>
      </c>
      <c r="U4" s="320" t="s">
        <v>390</v>
      </c>
      <c r="V4" s="319" t="s">
        <v>331</v>
      </c>
      <c r="W4" s="320" t="s">
        <v>390</v>
      </c>
      <c r="X4" s="319" t="s">
        <v>331</v>
      </c>
      <c r="Y4" s="320" t="s">
        <v>390</v>
      </c>
      <c r="Z4" s="318" t="s">
        <v>331</v>
      </c>
      <c r="AA4" s="320" t="s">
        <v>390</v>
      </c>
      <c r="AB4" s="319" t="s">
        <v>331</v>
      </c>
      <c r="AC4" s="320" t="s">
        <v>390</v>
      </c>
      <c r="AD4" s="319" t="s">
        <v>331</v>
      </c>
      <c r="AE4" s="320" t="s">
        <v>390</v>
      </c>
      <c r="AF4" s="319" t="s">
        <v>331</v>
      </c>
      <c r="AG4" s="320" t="s">
        <v>390</v>
      </c>
      <c r="AH4" s="319" t="s">
        <v>331</v>
      </c>
      <c r="AI4" s="320" t="s">
        <v>390</v>
      </c>
      <c r="AJ4" s="319" t="s">
        <v>331</v>
      </c>
      <c r="AK4" s="320" t="s">
        <v>390</v>
      </c>
      <c r="AL4" s="318" t="s">
        <v>331</v>
      </c>
      <c r="AM4" s="320" t="s">
        <v>390</v>
      </c>
      <c r="AN4" s="319" t="s">
        <v>331</v>
      </c>
      <c r="AO4" s="320" t="s">
        <v>390</v>
      </c>
      <c r="AP4" s="318" t="s">
        <v>331</v>
      </c>
      <c r="AQ4" s="320" t="s">
        <v>390</v>
      </c>
      <c r="AR4" s="319" t="s">
        <v>331</v>
      </c>
      <c r="AS4" s="320" t="s">
        <v>390</v>
      </c>
      <c r="AT4" s="319" t="s">
        <v>331</v>
      </c>
      <c r="AU4" s="320" t="s">
        <v>390</v>
      </c>
      <c r="AV4" s="319" t="s">
        <v>331</v>
      </c>
      <c r="AW4" s="320" t="s">
        <v>390</v>
      </c>
      <c r="AX4" s="319" t="s">
        <v>331</v>
      </c>
      <c r="AY4" s="320" t="s">
        <v>390</v>
      </c>
      <c r="AZ4" s="319" t="s">
        <v>331</v>
      </c>
      <c r="BA4" s="320" t="s">
        <v>390</v>
      </c>
    </row>
    <row r="5" spans="1:53" s="89" customFormat="1" ht="14.25" x14ac:dyDescent="0.25">
      <c r="A5" s="248" t="s">
        <v>59</v>
      </c>
      <c r="B5" s="147"/>
      <c r="C5" s="145"/>
      <c r="D5" s="147"/>
      <c r="E5" s="145"/>
      <c r="F5" s="147"/>
      <c r="G5" s="145"/>
      <c r="H5" s="147"/>
      <c r="I5" s="145"/>
      <c r="J5" s="147"/>
      <c r="K5" s="145"/>
      <c r="L5" s="147"/>
      <c r="M5" s="145"/>
      <c r="N5" s="147"/>
      <c r="O5" s="145"/>
      <c r="P5" s="144"/>
      <c r="Q5" s="145"/>
      <c r="R5" s="147"/>
      <c r="S5" s="145"/>
      <c r="T5" s="144"/>
      <c r="U5" s="145"/>
      <c r="V5" s="144"/>
      <c r="W5" s="148"/>
      <c r="X5" s="147"/>
      <c r="Y5" s="148"/>
      <c r="Z5" s="147"/>
      <c r="AA5" s="145"/>
      <c r="AB5" s="147"/>
      <c r="AC5" s="148"/>
      <c r="AD5" s="147"/>
      <c r="AE5" s="145"/>
      <c r="AF5" s="147"/>
      <c r="AG5" s="145"/>
      <c r="AH5" s="147"/>
      <c r="AI5" s="145"/>
      <c r="AJ5" s="147"/>
      <c r="AK5" s="145"/>
      <c r="AL5" s="147"/>
      <c r="AM5" s="145"/>
      <c r="AN5" s="147"/>
      <c r="AO5" s="145"/>
      <c r="AP5" s="147"/>
      <c r="AQ5" s="145"/>
      <c r="AR5" s="147"/>
      <c r="AS5" s="145"/>
      <c r="AT5" s="147"/>
      <c r="AU5" s="145"/>
      <c r="AV5" s="147"/>
      <c r="AW5" s="145"/>
      <c r="AX5" s="147"/>
      <c r="AY5" s="145"/>
      <c r="AZ5" s="147"/>
      <c r="BA5" s="149"/>
    </row>
    <row r="6" spans="1:53" s="89" customFormat="1" ht="14.25" x14ac:dyDescent="0.3">
      <c r="A6" s="151" t="s">
        <v>60</v>
      </c>
      <c r="B6" s="252">
        <v>23843</v>
      </c>
      <c r="C6" s="86">
        <v>31487</v>
      </c>
      <c r="D6" s="77">
        <v>135</v>
      </c>
      <c r="E6" s="78">
        <v>9</v>
      </c>
      <c r="F6" s="77">
        <v>1437</v>
      </c>
      <c r="G6" s="78">
        <v>1623</v>
      </c>
      <c r="H6" s="77">
        <v>34883</v>
      </c>
      <c r="I6" s="78">
        <v>53230</v>
      </c>
      <c r="J6" s="77">
        <v>6823</v>
      </c>
      <c r="K6" s="78">
        <v>8051</v>
      </c>
      <c r="L6" s="77">
        <v>14852</v>
      </c>
      <c r="M6" s="77">
        <v>17673</v>
      </c>
      <c r="N6" s="77">
        <v>975</v>
      </c>
      <c r="O6" s="78">
        <v>1715</v>
      </c>
      <c r="P6" s="106">
        <v>4668</v>
      </c>
      <c r="Q6" s="78">
        <v>5406</v>
      </c>
      <c r="R6" s="77">
        <v>6691</v>
      </c>
      <c r="S6" s="78"/>
      <c r="T6" s="106">
        <v>1592</v>
      </c>
      <c r="U6" s="78">
        <v>2650</v>
      </c>
      <c r="V6" s="106">
        <v>93926</v>
      </c>
      <c r="W6" s="88">
        <v>110116</v>
      </c>
      <c r="X6" s="77">
        <v>68323</v>
      </c>
      <c r="Y6" s="88">
        <v>63591</v>
      </c>
      <c r="Z6" s="597">
        <v>3463</v>
      </c>
      <c r="AA6" s="92">
        <v>5071</v>
      </c>
      <c r="AB6" s="77">
        <v>12830</v>
      </c>
      <c r="AC6" s="88">
        <v>15226</v>
      </c>
      <c r="AD6" s="77">
        <v>15363</v>
      </c>
      <c r="AE6" s="78">
        <v>22623</v>
      </c>
      <c r="AF6" s="77">
        <v>63429</v>
      </c>
      <c r="AG6" s="77">
        <v>66588</v>
      </c>
      <c r="AH6" s="77">
        <v>15903</v>
      </c>
      <c r="AI6" s="78">
        <v>21252</v>
      </c>
      <c r="AJ6" s="77">
        <v>5201</v>
      </c>
      <c r="AK6" s="78">
        <v>5967</v>
      </c>
      <c r="AL6" s="340"/>
      <c r="AM6" s="78"/>
      <c r="AN6" s="166">
        <v>73020</v>
      </c>
      <c r="AO6" s="165">
        <v>129346</v>
      </c>
      <c r="AP6" s="77">
        <v>5860</v>
      </c>
      <c r="AQ6" s="78">
        <v>5947</v>
      </c>
      <c r="AR6" s="94">
        <v>9869</v>
      </c>
      <c r="AS6" s="95"/>
      <c r="AT6" s="77">
        <v>63835</v>
      </c>
      <c r="AU6" s="78">
        <v>90869</v>
      </c>
      <c r="AV6" s="97">
        <f t="shared" ref="AV6:AW14" si="0">SUM(B6+D6+F6+H6+J6+L6+N6+P6+R6+T6+V6+X6+Z6+AB6+AD6+AF6+AH6+AJ6+AL6+AN6+AP6+AR6+AT6)</f>
        <v>526921</v>
      </c>
      <c r="AW6" s="107">
        <f t="shared" si="0"/>
        <v>658440</v>
      </c>
      <c r="AX6" s="94">
        <v>619281.69999999995</v>
      </c>
      <c r="AY6" s="95">
        <v>706413</v>
      </c>
      <c r="AZ6" s="97">
        <f t="shared" ref="AZ6:BA14" si="1">AV6+AX6</f>
        <v>1146202.7</v>
      </c>
      <c r="BA6" s="98">
        <f t="shared" si="1"/>
        <v>1364853</v>
      </c>
    </row>
    <row r="7" spans="1:53" s="89" customFormat="1" ht="14.25" x14ac:dyDescent="0.3">
      <c r="A7" s="151" t="s">
        <v>61</v>
      </c>
      <c r="B7" s="252">
        <v>12942</v>
      </c>
      <c r="C7" s="86">
        <v>13928</v>
      </c>
      <c r="D7" s="77">
        <v>104</v>
      </c>
      <c r="E7" s="78">
        <v>71</v>
      </c>
      <c r="F7" s="77">
        <v>543</v>
      </c>
      <c r="G7" s="78">
        <v>451</v>
      </c>
      <c r="H7" s="77">
        <v>7862</v>
      </c>
      <c r="I7" s="78">
        <v>10024</v>
      </c>
      <c r="J7" s="77">
        <v>3566</v>
      </c>
      <c r="K7" s="78">
        <v>3037</v>
      </c>
      <c r="L7" s="77">
        <v>6082</v>
      </c>
      <c r="M7" s="77">
        <v>7130</v>
      </c>
      <c r="N7" s="77">
        <v>752</v>
      </c>
      <c r="O7" s="78">
        <v>766</v>
      </c>
      <c r="P7" s="106">
        <v>1425</v>
      </c>
      <c r="Q7" s="78">
        <v>1514</v>
      </c>
      <c r="R7" s="77">
        <v>3873</v>
      </c>
      <c r="S7" s="78"/>
      <c r="T7" s="106">
        <v>780</v>
      </c>
      <c r="U7" s="78">
        <v>841</v>
      </c>
      <c r="V7" s="106">
        <v>22113</v>
      </c>
      <c r="W7" s="88">
        <v>27896</v>
      </c>
      <c r="X7" s="77">
        <v>28063</v>
      </c>
      <c r="Y7" s="88">
        <v>28746</v>
      </c>
      <c r="Z7" s="597">
        <v>1068</v>
      </c>
      <c r="AA7" s="92">
        <v>1034</v>
      </c>
      <c r="AB7" s="77">
        <v>3102</v>
      </c>
      <c r="AC7" s="88">
        <v>4391</v>
      </c>
      <c r="AD7" s="77">
        <v>12006</v>
      </c>
      <c r="AE7" s="78">
        <v>12651</v>
      </c>
      <c r="AF7" s="77">
        <v>22114</v>
      </c>
      <c r="AG7" s="77">
        <v>25054</v>
      </c>
      <c r="AH7" s="77">
        <v>8459</v>
      </c>
      <c r="AI7" s="78">
        <v>9487</v>
      </c>
      <c r="AJ7" s="77">
        <v>4679</v>
      </c>
      <c r="AK7" s="78">
        <v>4637</v>
      </c>
      <c r="AL7" s="340"/>
      <c r="AM7" s="78"/>
      <c r="AN7" s="166">
        <v>57192</v>
      </c>
      <c r="AO7" s="165">
        <v>62230</v>
      </c>
      <c r="AP7" s="77">
        <v>2507</v>
      </c>
      <c r="AQ7" s="78">
        <v>2538</v>
      </c>
      <c r="AR7" s="94">
        <v>5883</v>
      </c>
      <c r="AS7" s="95"/>
      <c r="AT7" s="77">
        <v>13769</v>
      </c>
      <c r="AU7" s="78">
        <v>18248</v>
      </c>
      <c r="AV7" s="97">
        <f t="shared" si="0"/>
        <v>218884</v>
      </c>
      <c r="AW7" s="107">
        <f t="shared" si="0"/>
        <v>234674</v>
      </c>
      <c r="AX7" s="94">
        <v>821102.43</v>
      </c>
      <c r="AY7" s="95">
        <v>863418</v>
      </c>
      <c r="AZ7" s="97">
        <f t="shared" si="1"/>
        <v>1039986.43</v>
      </c>
      <c r="BA7" s="98">
        <f t="shared" si="1"/>
        <v>1098092</v>
      </c>
    </row>
    <row r="8" spans="1:53" s="89" customFormat="1" ht="14.25" x14ac:dyDescent="0.3">
      <c r="A8" s="151" t="s">
        <v>62</v>
      </c>
      <c r="B8" s="252">
        <v>980</v>
      </c>
      <c r="C8" s="86">
        <v>2117</v>
      </c>
      <c r="D8" s="77">
        <v>1</v>
      </c>
      <c r="E8" s="78">
        <v>10</v>
      </c>
      <c r="F8" s="77">
        <v>23</v>
      </c>
      <c r="G8" s="78">
        <v>4</v>
      </c>
      <c r="H8" s="77">
        <v>5619</v>
      </c>
      <c r="I8" s="78">
        <v>5374</v>
      </c>
      <c r="J8" s="77">
        <v>114</v>
      </c>
      <c r="K8" s="78">
        <v>173</v>
      </c>
      <c r="L8" s="77">
        <v>1287</v>
      </c>
      <c r="M8" s="77">
        <v>1251</v>
      </c>
      <c r="N8" s="77">
        <v>426</v>
      </c>
      <c r="O8" s="78">
        <v>1312</v>
      </c>
      <c r="P8" s="106">
        <v>62</v>
      </c>
      <c r="Q8" s="78">
        <v>58</v>
      </c>
      <c r="R8" s="77">
        <v>115</v>
      </c>
      <c r="S8" s="78"/>
      <c r="T8" s="106">
        <v>85</v>
      </c>
      <c r="U8" s="78">
        <v>60</v>
      </c>
      <c r="V8" s="106">
        <v>13636</v>
      </c>
      <c r="W8" s="88">
        <v>19151</v>
      </c>
      <c r="X8" s="77">
        <v>9958</v>
      </c>
      <c r="Y8" s="88">
        <v>11649</v>
      </c>
      <c r="Z8" s="597">
        <v>757</v>
      </c>
      <c r="AA8" s="92">
        <v>1069</v>
      </c>
      <c r="AB8" s="77">
        <v>1165</v>
      </c>
      <c r="AC8" s="88">
        <v>1926</v>
      </c>
      <c r="AD8" s="77">
        <v>4245</v>
      </c>
      <c r="AE8" s="78">
        <v>8390</v>
      </c>
      <c r="AF8" s="77">
        <v>3012</v>
      </c>
      <c r="AG8" s="77">
        <v>3500</v>
      </c>
      <c r="AH8" s="77">
        <v>1320</v>
      </c>
      <c r="AI8" s="78">
        <v>1813</v>
      </c>
      <c r="AJ8" s="77">
        <v>25</v>
      </c>
      <c r="AK8" s="78">
        <v>16</v>
      </c>
      <c r="AL8" s="340"/>
      <c r="AM8" s="78"/>
      <c r="AN8" s="166">
        <v>10408</v>
      </c>
      <c r="AO8" s="165">
        <v>14879</v>
      </c>
      <c r="AP8" s="77">
        <v>399</v>
      </c>
      <c r="AQ8" s="78">
        <v>629</v>
      </c>
      <c r="AR8" s="94">
        <v>972</v>
      </c>
      <c r="AS8" s="95"/>
      <c r="AT8" s="77">
        <v>666</v>
      </c>
      <c r="AU8" s="78">
        <v>1136</v>
      </c>
      <c r="AV8" s="97">
        <f t="shared" si="0"/>
        <v>55275</v>
      </c>
      <c r="AW8" s="107">
        <f t="shared" si="0"/>
        <v>74517</v>
      </c>
      <c r="AX8" s="94">
        <v>32756.16</v>
      </c>
      <c r="AY8" s="95">
        <v>34548</v>
      </c>
      <c r="AZ8" s="97">
        <f t="shared" si="1"/>
        <v>88031.16</v>
      </c>
      <c r="BA8" s="98">
        <f t="shared" si="1"/>
        <v>109065</v>
      </c>
    </row>
    <row r="9" spans="1:53" s="788" customFormat="1" ht="14.25" x14ac:dyDescent="0.3">
      <c r="A9" s="778" t="s">
        <v>54</v>
      </c>
      <c r="B9" s="779">
        <f t="shared" ref="B9:G9" si="2">SUM(B6:B8)</f>
        <v>37765</v>
      </c>
      <c r="C9" s="779">
        <f t="shared" si="2"/>
        <v>47532</v>
      </c>
      <c r="D9" s="780">
        <f t="shared" si="2"/>
        <v>240</v>
      </c>
      <c r="E9" s="781">
        <f t="shared" si="2"/>
        <v>90</v>
      </c>
      <c r="F9" s="780">
        <f t="shared" si="2"/>
        <v>2003</v>
      </c>
      <c r="G9" s="781">
        <f t="shared" si="2"/>
        <v>2078</v>
      </c>
      <c r="H9" s="780">
        <f t="shared" ref="H9:O9" si="3">SUM(H6:H8)</f>
        <v>48364</v>
      </c>
      <c r="I9" s="782">
        <f t="shared" si="3"/>
        <v>68628</v>
      </c>
      <c r="J9" s="780">
        <f t="shared" si="3"/>
        <v>10503</v>
      </c>
      <c r="K9" s="782">
        <f t="shared" si="3"/>
        <v>11261</v>
      </c>
      <c r="L9" s="780">
        <f t="shared" si="3"/>
        <v>22221</v>
      </c>
      <c r="M9" s="782">
        <f t="shared" si="3"/>
        <v>26054</v>
      </c>
      <c r="N9" s="780">
        <f t="shared" si="3"/>
        <v>2153</v>
      </c>
      <c r="O9" s="781">
        <f t="shared" si="3"/>
        <v>3793</v>
      </c>
      <c r="P9" s="782">
        <f>SUM(P6:P8)</f>
        <v>6155</v>
      </c>
      <c r="Q9" s="781">
        <f>SUM(Q6:Q8)</f>
        <v>6978</v>
      </c>
      <c r="R9" s="780">
        <f>SUM(R6:R8)</f>
        <v>10679</v>
      </c>
      <c r="S9" s="781">
        <f>SUM(S6:S8)</f>
        <v>0</v>
      </c>
      <c r="T9" s="782">
        <f t="shared" ref="T9:AA9" si="4">SUM(T6:T8)</f>
        <v>2457</v>
      </c>
      <c r="U9" s="781">
        <f t="shared" si="4"/>
        <v>3551</v>
      </c>
      <c r="V9" s="782">
        <f t="shared" si="4"/>
        <v>129675</v>
      </c>
      <c r="W9" s="778">
        <f t="shared" si="4"/>
        <v>157163</v>
      </c>
      <c r="X9" s="780">
        <f t="shared" si="4"/>
        <v>106344</v>
      </c>
      <c r="Y9" s="783">
        <f t="shared" si="4"/>
        <v>103986</v>
      </c>
      <c r="Z9" s="780">
        <f t="shared" si="4"/>
        <v>5288</v>
      </c>
      <c r="AA9" s="784">
        <f t="shared" si="4"/>
        <v>7174</v>
      </c>
      <c r="AB9" s="780">
        <f t="shared" ref="AB9:AL9" si="5">SUM(AB6:AB8)</f>
        <v>17097</v>
      </c>
      <c r="AC9" s="778">
        <f t="shared" si="5"/>
        <v>21543</v>
      </c>
      <c r="AD9" s="780">
        <f t="shared" si="5"/>
        <v>31614</v>
      </c>
      <c r="AE9" s="781">
        <f t="shared" si="5"/>
        <v>43664</v>
      </c>
      <c r="AF9" s="780">
        <f t="shared" si="5"/>
        <v>88555</v>
      </c>
      <c r="AG9" s="782">
        <f t="shared" si="5"/>
        <v>95142</v>
      </c>
      <c r="AH9" s="780">
        <f t="shared" si="5"/>
        <v>25682</v>
      </c>
      <c r="AI9" s="781">
        <f t="shared" si="5"/>
        <v>32552</v>
      </c>
      <c r="AJ9" s="780">
        <f t="shared" si="5"/>
        <v>9905</v>
      </c>
      <c r="AK9" s="782">
        <f t="shared" si="5"/>
        <v>10620</v>
      </c>
      <c r="AL9" s="780">
        <f t="shared" si="5"/>
        <v>0</v>
      </c>
      <c r="AM9" s="781">
        <f>AL9</f>
        <v>0</v>
      </c>
      <c r="AN9" s="780">
        <f t="shared" ref="AN9:AS9" si="6">SUM(AN6:AN8)</f>
        <v>140620</v>
      </c>
      <c r="AO9" s="782">
        <f t="shared" si="6"/>
        <v>206455</v>
      </c>
      <c r="AP9" s="780">
        <f t="shared" si="6"/>
        <v>8766</v>
      </c>
      <c r="AQ9" s="782">
        <f t="shared" si="6"/>
        <v>9114</v>
      </c>
      <c r="AR9" s="780">
        <f t="shared" si="6"/>
        <v>16724</v>
      </c>
      <c r="AS9" s="785">
        <f t="shared" si="6"/>
        <v>0</v>
      </c>
      <c r="AT9" s="780">
        <f>SUM(AT6:AT8)</f>
        <v>78270</v>
      </c>
      <c r="AU9" s="781">
        <f>SUM(AU6:AU8)</f>
        <v>110253</v>
      </c>
      <c r="AV9" s="780">
        <f t="shared" si="0"/>
        <v>801080</v>
      </c>
      <c r="AW9" s="782">
        <f t="shared" si="0"/>
        <v>967631</v>
      </c>
      <c r="AX9" s="786">
        <f>SUM(AX6:AX8)</f>
        <v>1473140.2899999998</v>
      </c>
      <c r="AY9" s="786">
        <f>SUM(AY6:AY8)</f>
        <v>1604379</v>
      </c>
      <c r="AZ9" s="780">
        <f t="shared" si="1"/>
        <v>2274220.29</v>
      </c>
      <c r="BA9" s="787">
        <f t="shared" si="1"/>
        <v>2572010</v>
      </c>
    </row>
    <row r="10" spans="1:53" s="89" customFormat="1" ht="14.25" x14ac:dyDescent="0.3">
      <c r="A10" s="151" t="s">
        <v>63</v>
      </c>
      <c r="B10" s="69"/>
      <c r="C10" s="86">
        <f>B10</f>
        <v>0</v>
      </c>
      <c r="D10" s="97"/>
      <c r="E10" s="78">
        <f>D10</f>
        <v>0</v>
      </c>
      <c r="F10" s="97"/>
      <c r="G10" s="78">
        <f>F10</f>
        <v>0</v>
      </c>
      <c r="H10" s="97"/>
      <c r="I10" s="78">
        <f>H10</f>
        <v>0</v>
      </c>
      <c r="J10" s="97"/>
      <c r="K10" s="78">
        <f>J10</f>
        <v>0</v>
      </c>
      <c r="L10" s="97"/>
      <c r="M10" s="78">
        <f>L10</f>
        <v>0</v>
      </c>
      <c r="N10" s="97"/>
      <c r="O10" s="78">
        <f>N10</f>
        <v>0</v>
      </c>
      <c r="P10" s="107"/>
      <c r="Q10" s="78">
        <f>P10</f>
        <v>0</v>
      </c>
      <c r="R10" s="97"/>
      <c r="S10" s="78">
        <f>R10</f>
        <v>0</v>
      </c>
      <c r="T10" s="107"/>
      <c r="U10" s="78">
        <f>T10</f>
        <v>0</v>
      </c>
      <c r="V10" s="107"/>
      <c r="W10" s="88">
        <f>V10</f>
        <v>0</v>
      </c>
      <c r="X10" s="97"/>
      <c r="Y10" s="88">
        <f>X10</f>
        <v>0</v>
      </c>
      <c r="Z10" s="597"/>
      <c r="AA10" s="92">
        <f>Z10</f>
        <v>0</v>
      </c>
      <c r="AB10" s="97"/>
      <c r="AC10" s="88">
        <f>AB10</f>
        <v>0</v>
      </c>
      <c r="AD10" s="596"/>
      <c r="AE10" s="78">
        <f>AD10</f>
        <v>0</v>
      </c>
      <c r="AF10" s="97"/>
      <c r="AG10" s="78">
        <f>AF10</f>
        <v>0</v>
      </c>
      <c r="AH10" s="97"/>
      <c r="AI10" s="78">
        <f>AH10</f>
        <v>0</v>
      </c>
      <c r="AJ10" s="97"/>
      <c r="AK10" s="78">
        <f>AJ10</f>
        <v>0</v>
      </c>
      <c r="AL10" s="340"/>
      <c r="AM10" s="78">
        <f>AL10</f>
        <v>0</v>
      </c>
      <c r="AN10" s="77"/>
      <c r="AO10" s="165">
        <f>AN10</f>
        <v>0</v>
      </c>
      <c r="AP10" s="77"/>
      <c r="AQ10" s="78">
        <f>AP10</f>
        <v>0</v>
      </c>
      <c r="AR10" s="94"/>
      <c r="AS10" s="95">
        <f>AR10</f>
        <v>0</v>
      </c>
      <c r="AT10" s="97"/>
      <c r="AU10" s="78">
        <f>AT10</f>
        <v>0</v>
      </c>
      <c r="AV10" s="97">
        <f t="shared" si="0"/>
        <v>0</v>
      </c>
      <c r="AW10" s="107">
        <f t="shared" si="0"/>
        <v>0</v>
      </c>
      <c r="AX10" s="97"/>
      <c r="AY10" s="95">
        <f>AX10</f>
        <v>0</v>
      </c>
      <c r="AZ10" s="97">
        <f t="shared" si="1"/>
        <v>0</v>
      </c>
      <c r="BA10" s="98">
        <f t="shared" si="1"/>
        <v>0</v>
      </c>
    </row>
    <row r="11" spans="1:53" s="89" customFormat="1" ht="14.25" x14ac:dyDescent="0.3">
      <c r="A11" s="151" t="s">
        <v>64</v>
      </c>
      <c r="B11" s="252"/>
      <c r="C11" s="86">
        <f>B11</f>
        <v>0</v>
      </c>
      <c r="D11" s="77"/>
      <c r="E11" s="78">
        <f>D11</f>
        <v>0</v>
      </c>
      <c r="F11" s="77"/>
      <c r="G11" s="78">
        <f>F11</f>
        <v>0</v>
      </c>
      <c r="H11" s="77">
        <v>2</v>
      </c>
      <c r="I11" s="78"/>
      <c r="J11" s="77"/>
      <c r="K11" s="78">
        <f>J11</f>
        <v>0</v>
      </c>
      <c r="L11" s="77"/>
      <c r="M11" s="78">
        <f>L11</f>
        <v>0</v>
      </c>
      <c r="N11" s="77"/>
      <c r="O11" s="78">
        <f>N11</f>
        <v>0</v>
      </c>
      <c r="P11" s="106"/>
      <c r="Q11" s="78">
        <f>P11</f>
        <v>0</v>
      </c>
      <c r="R11" s="77"/>
      <c r="S11" s="78">
        <f>R11</f>
        <v>0</v>
      </c>
      <c r="T11" s="106"/>
      <c r="U11" s="78">
        <f>T11</f>
        <v>0</v>
      </c>
      <c r="V11" s="106"/>
      <c r="W11" s="88">
        <f>V11</f>
        <v>0</v>
      </c>
      <c r="X11" s="77"/>
      <c r="Y11" s="88">
        <f>X11</f>
        <v>0</v>
      </c>
      <c r="Z11" s="77"/>
      <c r="AA11" s="92">
        <f>Z11</f>
        <v>0</v>
      </c>
      <c r="AB11" s="77"/>
      <c r="AC11" s="88">
        <f>AB11</f>
        <v>0</v>
      </c>
      <c r="AD11" s="77"/>
      <c r="AE11" s="78">
        <f>AD11</f>
        <v>0</v>
      </c>
      <c r="AF11" s="77"/>
      <c r="AG11" s="78">
        <f>AF11</f>
        <v>0</v>
      </c>
      <c r="AH11" s="77"/>
      <c r="AI11" s="78">
        <f>AH11</f>
        <v>0</v>
      </c>
      <c r="AJ11" s="77"/>
      <c r="AK11" s="78">
        <f>AJ11</f>
        <v>0</v>
      </c>
      <c r="AL11" s="340"/>
      <c r="AM11" s="78">
        <f>AL11</f>
        <v>0</v>
      </c>
      <c r="AN11" s="77"/>
      <c r="AO11" s="165">
        <f>AN11</f>
        <v>0</v>
      </c>
      <c r="AP11" s="77"/>
      <c r="AQ11" s="78">
        <f>AP11</f>
        <v>0</v>
      </c>
      <c r="AR11" s="94"/>
      <c r="AS11" s="95">
        <f>AR11</f>
        <v>0</v>
      </c>
      <c r="AT11" s="77">
        <v>21</v>
      </c>
      <c r="AU11" s="78">
        <v>12</v>
      </c>
      <c r="AV11" s="97">
        <f t="shared" si="0"/>
        <v>23</v>
      </c>
      <c r="AW11" s="107">
        <f t="shared" si="0"/>
        <v>12</v>
      </c>
      <c r="AX11" s="94"/>
      <c r="AY11" s="95"/>
      <c r="AZ11" s="97">
        <f t="shared" si="1"/>
        <v>23</v>
      </c>
      <c r="BA11" s="98">
        <f t="shared" si="1"/>
        <v>12</v>
      </c>
    </row>
    <row r="12" spans="1:53" s="344" customFormat="1" ht="14.25" x14ac:dyDescent="0.3">
      <c r="A12" s="152" t="s">
        <v>65</v>
      </c>
      <c r="B12" s="69">
        <f t="shared" ref="B12:G12" si="7">B9</f>
        <v>37765</v>
      </c>
      <c r="C12" s="69">
        <f t="shared" si="7"/>
        <v>47532</v>
      </c>
      <c r="D12" s="69">
        <f t="shared" si="7"/>
        <v>240</v>
      </c>
      <c r="E12" s="101">
        <f t="shared" si="7"/>
        <v>90</v>
      </c>
      <c r="F12" s="69">
        <f t="shared" si="7"/>
        <v>2003</v>
      </c>
      <c r="G12" s="101">
        <f t="shared" si="7"/>
        <v>2078</v>
      </c>
      <c r="H12" s="69">
        <f>H9+H11</f>
        <v>48366</v>
      </c>
      <c r="I12" s="101">
        <f>I9</f>
        <v>68628</v>
      </c>
      <c r="J12" s="69">
        <f t="shared" ref="J12:W12" si="8">J9</f>
        <v>10503</v>
      </c>
      <c r="K12" s="69">
        <f t="shared" si="8"/>
        <v>11261</v>
      </c>
      <c r="L12" s="69">
        <f t="shared" si="8"/>
        <v>22221</v>
      </c>
      <c r="M12" s="69">
        <f t="shared" si="8"/>
        <v>26054</v>
      </c>
      <c r="N12" s="69">
        <f t="shared" si="8"/>
        <v>2153</v>
      </c>
      <c r="O12" s="69">
        <f t="shared" si="8"/>
        <v>3793</v>
      </c>
      <c r="P12" s="100">
        <f t="shared" si="8"/>
        <v>6155</v>
      </c>
      <c r="Q12" s="101">
        <f t="shared" si="8"/>
        <v>6978</v>
      </c>
      <c r="R12" s="69">
        <f t="shared" si="8"/>
        <v>10679</v>
      </c>
      <c r="S12" s="69">
        <f t="shared" si="8"/>
        <v>0</v>
      </c>
      <c r="T12" s="100">
        <f t="shared" si="8"/>
        <v>2457</v>
      </c>
      <c r="U12" s="101">
        <f t="shared" si="8"/>
        <v>3551</v>
      </c>
      <c r="V12" s="69">
        <f t="shared" si="8"/>
        <v>129675</v>
      </c>
      <c r="W12" s="69">
        <f t="shared" si="8"/>
        <v>157163</v>
      </c>
      <c r="X12" s="69">
        <f t="shared" ref="X12:AE12" si="9">X9</f>
        <v>106344</v>
      </c>
      <c r="Y12" s="102">
        <f t="shared" si="9"/>
        <v>103986</v>
      </c>
      <c r="Z12" s="69">
        <f t="shared" si="9"/>
        <v>5288</v>
      </c>
      <c r="AA12" s="535">
        <f t="shared" si="9"/>
        <v>7174</v>
      </c>
      <c r="AB12" s="69">
        <f t="shared" si="9"/>
        <v>17097</v>
      </c>
      <c r="AC12" s="102">
        <f t="shared" si="9"/>
        <v>21543</v>
      </c>
      <c r="AD12" s="69">
        <f t="shared" si="9"/>
        <v>31614</v>
      </c>
      <c r="AE12" s="101">
        <f t="shared" si="9"/>
        <v>43664</v>
      </c>
      <c r="AF12" s="97">
        <f t="shared" ref="AF12:AL12" si="10">AF9</f>
        <v>88555</v>
      </c>
      <c r="AG12" s="97">
        <f t="shared" si="10"/>
        <v>95142</v>
      </c>
      <c r="AH12" s="97">
        <f t="shared" si="10"/>
        <v>25682</v>
      </c>
      <c r="AI12" s="101">
        <f t="shared" si="10"/>
        <v>32552</v>
      </c>
      <c r="AJ12" s="97">
        <f t="shared" si="10"/>
        <v>9905</v>
      </c>
      <c r="AK12" s="97">
        <f t="shared" si="10"/>
        <v>10620</v>
      </c>
      <c r="AL12" s="97">
        <f t="shared" si="10"/>
        <v>0</v>
      </c>
      <c r="AM12" s="101">
        <f ca="1">AM12</f>
        <v>0</v>
      </c>
      <c r="AN12" s="342">
        <f t="shared" ref="AN12:AS12" si="11">AN9</f>
        <v>140620</v>
      </c>
      <c r="AO12" s="155">
        <f t="shared" si="11"/>
        <v>206455</v>
      </c>
      <c r="AP12" s="342">
        <f t="shared" si="11"/>
        <v>8766</v>
      </c>
      <c r="AQ12" s="155">
        <f t="shared" si="11"/>
        <v>9114</v>
      </c>
      <c r="AR12" s="342">
        <f t="shared" si="11"/>
        <v>16724</v>
      </c>
      <c r="AS12" s="536">
        <f t="shared" si="11"/>
        <v>0</v>
      </c>
      <c r="AT12" s="342">
        <f>AT9-AT11</f>
        <v>78249</v>
      </c>
      <c r="AU12" s="342">
        <f>AU9-AU11</f>
        <v>110241</v>
      </c>
      <c r="AV12" s="97">
        <f t="shared" si="0"/>
        <v>801061</v>
      </c>
      <c r="AW12" s="107">
        <f t="shared" ca="1" si="0"/>
        <v>0</v>
      </c>
      <c r="AX12" s="343">
        <f>AX9</f>
        <v>1473140.2899999998</v>
      </c>
      <c r="AY12" s="343">
        <f>AY9</f>
        <v>1604379</v>
      </c>
      <c r="AZ12" s="97">
        <f t="shared" si="1"/>
        <v>2274201.29</v>
      </c>
      <c r="BA12" s="98">
        <f t="shared" ca="1" si="1"/>
        <v>0</v>
      </c>
    </row>
    <row r="13" spans="1:53" s="344" customFormat="1" ht="14.25" x14ac:dyDescent="0.3">
      <c r="A13" s="152" t="s">
        <v>216</v>
      </c>
      <c r="B13" s="69">
        <v>2063</v>
      </c>
      <c r="C13" s="100">
        <v>2496</v>
      </c>
      <c r="D13" s="69"/>
      <c r="E13" s="101"/>
      <c r="F13" s="69">
        <v>73</v>
      </c>
      <c r="G13" s="101">
        <v>108</v>
      </c>
      <c r="H13" s="69">
        <v>2769</v>
      </c>
      <c r="I13" s="101">
        <v>4185</v>
      </c>
      <c r="J13" s="69">
        <v>1018</v>
      </c>
      <c r="K13" s="100">
        <v>1029</v>
      </c>
      <c r="L13" s="69"/>
      <c r="M13" s="101">
        <v>124</v>
      </c>
      <c r="N13" s="69">
        <v>59</v>
      </c>
      <c r="O13" s="101">
        <v>114</v>
      </c>
      <c r="P13" s="100">
        <v>434</v>
      </c>
      <c r="Q13" s="101">
        <v>533</v>
      </c>
      <c r="R13" s="69">
        <v>1318</v>
      </c>
      <c r="S13" s="101"/>
      <c r="T13" s="100">
        <v>13</v>
      </c>
      <c r="U13" s="101">
        <v>113</v>
      </c>
      <c r="V13" s="100">
        <v>2280</v>
      </c>
      <c r="W13" s="102">
        <v>2713</v>
      </c>
      <c r="X13" s="69">
        <v>5303</v>
      </c>
      <c r="Y13" s="102">
        <v>7051</v>
      </c>
      <c r="Z13" s="69">
        <v>31</v>
      </c>
      <c r="AA13" s="535">
        <v>49</v>
      </c>
      <c r="AB13" s="69"/>
      <c r="AC13" s="102"/>
      <c r="AD13" s="69">
        <v>1186</v>
      </c>
      <c r="AE13" s="101">
        <v>908</v>
      </c>
      <c r="AF13" s="97">
        <v>2239</v>
      </c>
      <c r="AG13" s="97">
        <v>3394</v>
      </c>
      <c r="AH13" s="97">
        <v>507</v>
      </c>
      <c r="AI13" s="101">
        <v>1345</v>
      </c>
      <c r="AJ13" s="97">
        <v>496</v>
      </c>
      <c r="AK13" s="107">
        <v>944</v>
      </c>
      <c r="AL13" s="97"/>
      <c r="AM13" s="101"/>
      <c r="AN13" s="342">
        <v>4686</v>
      </c>
      <c r="AO13" s="155"/>
      <c r="AP13" s="342">
        <v>232</v>
      </c>
      <c r="AQ13" s="155">
        <v>377</v>
      </c>
      <c r="AR13" s="342"/>
      <c r="AS13" s="536"/>
      <c r="AT13" s="342">
        <v>4496</v>
      </c>
      <c r="AU13" s="637">
        <v>8444</v>
      </c>
      <c r="AV13" s="97">
        <f t="shared" si="0"/>
        <v>29203</v>
      </c>
      <c r="AW13" s="107">
        <f t="shared" si="0"/>
        <v>33927</v>
      </c>
      <c r="AX13" s="343">
        <v>69749.27</v>
      </c>
      <c r="AY13" s="638">
        <v>110814</v>
      </c>
      <c r="AZ13" s="97">
        <f t="shared" si="1"/>
        <v>98952.27</v>
      </c>
      <c r="BA13" s="98">
        <f t="shared" si="1"/>
        <v>144741</v>
      </c>
    </row>
    <row r="14" spans="1:53" s="788" customFormat="1" ht="14.25" x14ac:dyDescent="0.3">
      <c r="A14" s="778" t="s">
        <v>217</v>
      </c>
      <c r="B14" s="779">
        <f>B12+B13</f>
        <v>39828</v>
      </c>
      <c r="C14" s="779">
        <f>C12+C13</f>
        <v>50028</v>
      </c>
      <c r="D14" s="779">
        <f t="shared" ref="D14:J14" si="12">D12+D13</f>
        <v>240</v>
      </c>
      <c r="E14" s="779">
        <f t="shared" si="12"/>
        <v>90</v>
      </c>
      <c r="F14" s="779">
        <f t="shared" si="12"/>
        <v>2076</v>
      </c>
      <c r="G14" s="779">
        <f t="shared" si="12"/>
        <v>2186</v>
      </c>
      <c r="H14" s="779">
        <f t="shared" si="12"/>
        <v>51135</v>
      </c>
      <c r="I14" s="779">
        <f t="shared" si="12"/>
        <v>72813</v>
      </c>
      <c r="J14" s="779">
        <f t="shared" si="12"/>
        <v>11521</v>
      </c>
      <c r="K14" s="779">
        <f t="shared" ref="K14:AU14" si="13">K12+K13</f>
        <v>12290</v>
      </c>
      <c r="L14" s="779">
        <f t="shared" si="13"/>
        <v>22221</v>
      </c>
      <c r="M14" s="779">
        <f t="shared" si="13"/>
        <v>26178</v>
      </c>
      <c r="N14" s="779">
        <f t="shared" si="13"/>
        <v>2212</v>
      </c>
      <c r="O14" s="779">
        <f t="shared" si="13"/>
        <v>3907</v>
      </c>
      <c r="P14" s="779">
        <f t="shared" si="13"/>
        <v>6589</v>
      </c>
      <c r="Q14" s="779">
        <f t="shared" si="13"/>
        <v>7511</v>
      </c>
      <c r="R14" s="779">
        <f t="shared" si="13"/>
        <v>11997</v>
      </c>
      <c r="S14" s="779">
        <f t="shared" si="13"/>
        <v>0</v>
      </c>
      <c r="T14" s="779">
        <f t="shared" si="13"/>
        <v>2470</v>
      </c>
      <c r="U14" s="779">
        <f t="shared" si="13"/>
        <v>3664</v>
      </c>
      <c r="V14" s="779">
        <f t="shared" si="13"/>
        <v>131955</v>
      </c>
      <c r="W14" s="779">
        <f t="shared" si="13"/>
        <v>159876</v>
      </c>
      <c r="X14" s="779">
        <f t="shared" si="13"/>
        <v>111647</v>
      </c>
      <c r="Y14" s="779">
        <f t="shared" si="13"/>
        <v>111037</v>
      </c>
      <c r="Z14" s="779">
        <f t="shared" si="13"/>
        <v>5319</v>
      </c>
      <c r="AA14" s="779">
        <f t="shared" si="13"/>
        <v>7223</v>
      </c>
      <c r="AB14" s="779">
        <f t="shared" si="13"/>
        <v>17097</v>
      </c>
      <c r="AC14" s="779">
        <f t="shared" si="13"/>
        <v>21543</v>
      </c>
      <c r="AD14" s="779">
        <f t="shared" si="13"/>
        <v>32800</v>
      </c>
      <c r="AE14" s="779">
        <f t="shared" si="13"/>
        <v>44572</v>
      </c>
      <c r="AF14" s="779">
        <f t="shared" si="13"/>
        <v>90794</v>
      </c>
      <c r="AG14" s="779">
        <f t="shared" si="13"/>
        <v>98536</v>
      </c>
      <c r="AH14" s="779">
        <f t="shared" si="13"/>
        <v>26189</v>
      </c>
      <c r="AI14" s="779">
        <f t="shared" si="13"/>
        <v>33897</v>
      </c>
      <c r="AJ14" s="779">
        <f t="shared" si="13"/>
        <v>10401</v>
      </c>
      <c r="AK14" s="779">
        <f t="shared" si="13"/>
        <v>11564</v>
      </c>
      <c r="AL14" s="779">
        <f t="shared" si="13"/>
        <v>0</v>
      </c>
      <c r="AM14" s="779">
        <f t="shared" ca="1" si="13"/>
        <v>0</v>
      </c>
      <c r="AN14" s="779">
        <f t="shared" si="13"/>
        <v>145306</v>
      </c>
      <c r="AO14" s="779">
        <f t="shared" si="13"/>
        <v>206455</v>
      </c>
      <c r="AP14" s="779">
        <f t="shared" si="13"/>
        <v>8998</v>
      </c>
      <c r="AQ14" s="779">
        <f t="shared" si="13"/>
        <v>9491</v>
      </c>
      <c r="AR14" s="779">
        <f t="shared" si="13"/>
        <v>16724</v>
      </c>
      <c r="AS14" s="779">
        <f t="shared" si="13"/>
        <v>0</v>
      </c>
      <c r="AT14" s="779">
        <f t="shared" si="13"/>
        <v>82745</v>
      </c>
      <c r="AU14" s="779">
        <f t="shared" si="13"/>
        <v>118685</v>
      </c>
      <c r="AV14" s="780">
        <f t="shared" si="0"/>
        <v>830264</v>
      </c>
      <c r="AW14" s="782">
        <f t="shared" ca="1" si="0"/>
        <v>0</v>
      </c>
      <c r="AX14" s="786">
        <f>AX12+AX13</f>
        <v>1542889.5599999998</v>
      </c>
      <c r="AY14" s="786">
        <f>AY12+AY13</f>
        <v>1715193</v>
      </c>
      <c r="AZ14" s="780">
        <f t="shared" si="1"/>
        <v>2373153.5599999996</v>
      </c>
      <c r="BA14" s="787">
        <f t="shared" ca="1" si="1"/>
        <v>0</v>
      </c>
    </row>
    <row r="15" spans="1:53" s="89" customFormat="1" ht="14.25" x14ac:dyDescent="0.3">
      <c r="A15" s="152" t="s">
        <v>66</v>
      </c>
      <c r="B15" s="252"/>
      <c r="C15" s="86">
        <f>B15</f>
        <v>0</v>
      </c>
      <c r="D15" s="77"/>
      <c r="E15" s="78">
        <f>D15</f>
        <v>0</v>
      </c>
      <c r="F15" s="77"/>
      <c r="G15" s="78"/>
      <c r="H15" s="77"/>
      <c r="I15" s="78"/>
      <c r="J15" s="77"/>
      <c r="K15" s="78">
        <f>J15</f>
        <v>0</v>
      </c>
      <c r="L15" s="77"/>
      <c r="M15" s="78">
        <f>L15</f>
        <v>0</v>
      </c>
      <c r="N15" s="77"/>
      <c r="O15" s="78">
        <f>N15</f>
        <v>0</v>
      </c>
      <c r="P15" s="106"/>
      <c r="Q15" s="78">
        <f>P15</f>
        <v>0</v>
      </c>
      <c r="R15" s="77"/>
      <c r="S15" s="78">
        <f>R15</f>
        <v>0</v>
      </c>
      <c r="T15" s="106"/>
      <c r="U15" s="78">
        <f>T15</f>
        <v>0</v>
      </c>
      <c r="V15" s="106"/>
      <c r="W15" s="88">
        <f>V15</f>
        <v>0</v>
      </c>
      <c r="X15" s="77"/>
      <c r="Y15" s="88">
        <f>X15</f>
        <v>0</v>
      </c>
      <c r="Z15" s="77"/>
      <c r="AA15" s="92">
        <f>Z15</f>
        <v>0</v>
      </c>
      <c r="AB15" s="77"/>
      <c r="AC15" s="88">
        <f>AB15</f>
        <v>0</v>
      </c>
      <c r="AD15" s="77"/>
      <c r="AE15" s="78">
        <f>AD15</f>
        <v>0</v>
      </c>
      <c r="AF15" s="77"/>
      <c r="AG15" s="78">
        <f>AF15</f>
        <v>0</v>
      </c>
      <c r="AH15" s="77"/>
      <c r="AI15" s="78">
        <f>AH15</f>
        <v>0</v>
      </c>
      <c r="AJ15" s="77"/>
      <c r="AK15" s="78">
        <f>AJ15</f>
        <v>0</v>
      </c>
      <c r="AL15" s="340"/>
      <c r="AM15" s="78">
        <f t="shared" ref="AM15:AM27" si="14">AL15</f>
        <v>0</v>
      </c>
      <c r="AN15" s="77"/>
      <c r="AO15" s="165">
        <f>AN15</f>
        <v>0</v>
      </c>
      <c r="AP15" s="77"/>
      <c r="AQ15" s="78">
        <f>AP15</f>
        <v>0</v>
      </c>
      <c r="AR15" s="94"/>
      <c r="AS15" s="95">
        <f>AR15</f>
        <v>0</v>
      </c>
      <c r="AT15" s="77"/>
      <c r="AU15" s="78"/>
      <c r="AV15" s="97">
        <f t="shared" ref="AV15:AV25" si="15">SUM(B15+D15+F15+H15+J15+L15+N15+P15+R15+T15+V15+X15+Z15+AB15+AD15+AF15+AH15+AJ15+AL15+AN15+AP15+AR15+AT15)</f>
        <v>0</v>
      </c>
      <c r="AW15" s="107">
        <f t="shared" ref="AW15:AW25" si="16">SUM(C15+E15+G15+I15+K15+M15+O15+Q15+S15+U15+W15+Y15+AA15+AC15+AE15+AG15+AI15+AK15+AM15+AO15+AQ15+AS15+AU15)</f>
        <v>0</v>
      </c>
      <c r="AX15" s="94"/>
      <c r="AY15" s="95">
        <f>AX15</f>
        <v>0</v>
      </c>
      <c r="AZ15" s="97">
        <f t="shared" ref="AZ15:AZ25" si="17">AV15+AX15</f>
        <v>0</v>
      </c>
      <c r="BA15" s="98">
        <f t="shared" ref="BA15:BA25" si="18">AW15+AY15</f>
        <v>0</v>
      </c>
    </row>
    <row r="16" spans="1:53" s="89" customFormat="1" ht="14.25" x14ac:dyDescent="0.3">
      <c r="A16" s="152" t="s">
        <v>67</v>
      </c>
      <c r="B16" s="252"/>
      <c r="C16" s="86">
        <f>B16</f>
        <v>0</v>
      </c>
      <c r="D16" s="77"/>
      <c r="E16" s="78">
        <f>D16</f>
        <v>0</v>
      </c>
      <c r="F16" s="77"/>
      <c r="G16" s="78"/>
      <c r="H16" s="77"/>
      <c r="I16" s="78">
        <f>H16</f>
        <v>0</v>
      </c>
      <c r="J16" s="77"/>
      <c r="K16" s="78">
        <f>J16</f>
        <v>0</v>
      </c>
      <c r="L16" s="77"/>
      <c r="M16" s="78">
        <f>L16</f>
        <v>0</v>
      </c>
      <c r="N16" s="77"/>
      <c r="O16" s="78">
        <f>N16</f>
        <v>0</v>
      </c>
      <c r="P16" s="106"/>
      <c r="Q16" s="78">
        <f>P16</f>
        <v>0</v>
      </c>
      <c r="R16" s="77"/>
      <c r="S16" s="78">
        <f>R16</f>
        <v>0</v>
      </c>
      <c r="T16" s="106"/>
      <c r="U16" s="78">
        <f>T16</f>
        <v>0</v>
      </c>
      <c r="V16" s="106"/>
      <c r="W16" s="88">
        <f>V16</f>
        <v>0</v>
      </c>
      <c r="X16" s="77"/>
      <c r="Y16" s="88">
        <f>X16</f>
        <v>0</v>
      </c>
      <c r="Z16" s="77"/>
      <c r="AA16" s="92">
        <f>Z16</f>
        <v>0</v>
      </c>
      <c r="AB16" s="77"/>
      <c r="AC16" s="88">
        <f>AB16</f>
        <v>0</v>
      </c>
      <c r="AD16" s="77"/>
      <c r="AE16" s="78">
        <f>AD16</f>
        <v>0</v>
      </c>
      <c r="AF16" s="77"/>
      <c r="AG16" s="78">
        <f>AF16</f>
        <v>0</v>
      </c>
      <c r="AH16" s="77"/>
      <c r="AI16" s="78">
        <f>AH16</f>
        <v>0</v>
      </c>
      <c r="AJ16" s="77"/>
      <c r="AK16" s="78">
        <f>AJ16</f>
        <v>0</v>
      </c>
      <c r="AL16" s="340"/>
      <c r="AM16" s="78">
        <f t="shared" si="14"/>
        <v>0</v>
      </c>
      <c r="AN16" s="77"/>
      <c r="AO16" s="165">
        <f>AN16</f>
        <v>0</v>
      </c>
      <c r="AP16" s="77"/>
      <c r="AQ16" s="78">
        <f>AP16</f>
        <v>0</v>
      </c>
      <c r="AR16" s="94"/>
      <c r="AS16" s="95">
        <f>AR16</f>
        <v>0</v>
      </c>
      <c r="AT16" s="77"/>
      <c r="AU16" s="78"/>
      <c r="AV16" s="97">
        <f t="shared" si="15"/>
        <v>0</v>
      </c>
      <c r="AW16" s="107">
        <f t="shared" si="16"/>
        <v>0</v>
      </c>
      <c r="AX16" s="94"/>
      <c r="AY16" s="95">
        <f>AX16</f>
        <v>0</v>
      </c>
      <c r="AZ16" s="97">
        <f t="shared" si="17"/>
        <v>0</v>
      </c>
      <c r="BA16" s="98">
        <f t="shared" si="18"/>
        <v>0</v>
      </c>
    </row>
    <row r="17" spans="1:53" s="89" customFormat="1" ht="14.25" x14ac:dyDescent="0.3">
      <c r="A17" s="151" t="s">
        <v>68</v>
      </c>
      <c r="B17" s="69">
        <v>15598</v>
      </c>
      <c r="C17" s="86">
        <v>18456</v>
      </c>
      <c r="D17" s="97">
        <v>4</v>
      </c>
      <c r="E17" s="78">
        <v>4</v>
      </c>
      <c r="F17" s="97">
        <v>647</v>
      </c>
      <c r="G17" s="78">
        <v>483</v>
      </c>
      <c r="H17" s="97">
        <v>22265</v>
      </c>
      <c r="I17" s="78">
        <v>30001</v>
      </c>
      <c r="J17" s="97">
        <v>3437</v>
      </c>
      <c r="K17" s="78">
        <v>3480</v>
      </c>
      <c r="L17" s="97">
        <v>93</v>
      </c>
      <c r="M17" s="97">
        <v>81</v>
      </c>
      <c r="N17" s="97">
        <v>1307</v>
      </c>
      <c r="O17" s="78">
        <v>1736</v>
      </c>
      <c r="P17" s="107">
        <v>4016</v>
      </c>
      <c r="Q17" s="78">
        <v>4791</v>
      </c>
      <c r="R17" s="97">
        <v>6553</v>
      </c>
      <c r="S17" s="78"/>
      <c r="T17" s="107">
        <v>655</v>
      </c>
      <c r="U17" s="78">
        <v>1124</v>
      </c>
      <c r="V17" s="107">
        <v>24105</v>
      </c>
      <c r="W17" s="88">
        <v>33821</v>
      </c>
      <c r="X17" s="97">
        <v>35957</v>
      </c>
      <c r="Y17" s="88">
        <v>39180</v>
      </c>
      <c r="Z17" s="597">
        <v>121</v>
      </c>
      <c r="AA17" s="92">
        <v>378</v>
      </c>
      <c r="AB17" s="97">
        <v>991</v>
      </c>
      <c r="AC17" s="88">
        <v>1032</v>
      </c>
      <c r="AD17" s="596">
        <v>12591</v>
      </c>
      <c r="AE17" s="78">
        <v>17777</v>
      </c>
      <c r="AF17" s="97">
        <v>19234</v>
      </c>
      <c r="AG17" s="97">
        <v>22853</v>
      </c>
      <c r="AH17" s="97">
        <v>2368</v>
      </c>
      <c r="AI17" s="78">
        <v>4284</v>
      </c>
      <c r="AJ17" s="97">
        <v>8069</v>
      </c>
      <c r="AK17" s="78">
        <v>8538</v>
      </c>
      <c r="AL17" s="340"/>
      <c r="AM17" s="78">
        <f t="shared" si="14"/>
        <v>0</v>
      </c>
      <c r="AN17" s="166">
        <v>49296</v>
      </c>
      <c r="AO17" s="165">
        <v>74396</v>
      </c>
      <c r="AP17" s="77">
        <v>1115</v>
      </c>
      <c r="AQ17" s="78">
        <v>1098</v>
      </c>
      <c r="AR17" s="94">
        <v>16</v>
      </c>
      <c r="AS17" s="95"/>
      <c r="AT17" s="97">
        <v>29506</v>
      </c>
      <c r="AU17" s="78">
        <v>42242</v>
      </c>
      <c r="AV17" s="97">
        <f t="shared" si="15"/>
        <v>237944</v>
      </c>
      <c r="AW17" s="107">
        <f t="shared" si="16"/>
        <v>305755</v>
      </c>
      <c r="AX17" s="97">
        <v>1529560.56</v>
      </c>
      <c r="AY17" s="95">
        <v>1695810</v>
      </c>
      <c r="AZ17" s="97">
        <f t="shared" si="17"/>
        <v>1767504.56</v>
      </c>
      <c r="BA17" s="98">
        <f t="shared" si="18"/>
        <v>2001565</v>
      </c>
    </row>
    <row r="18" spans="1:53" s="89" customFormat="1" ht="14.25" x14ac:dyDescent="0.3">
      <c r="A18" s="151" t="s">
        <v>6</v>
      </c>
      <c r="B18" s="252">
        <v>1821</v>
      </c>
      <c r="C18" s="86">
        <v>1955</v>
      </c>
      <c r="D18" s="77">
        <v>86</v>
      </c>
      <c r="E18" s="78">
        <v>38</v>
      </c>
      <c r="F18" s="77">
        <v>275</v>
      </c>
      <c r="G18" s="78">
        <v>217</v>
      </c>
      <c r="H18" s="77">
        <v>2021</v>
      </c>
      <c r="I18" s="78">
        <v>4182</v>
      </c>
      <c r="J18" s="77">
        <v>4734</v>
      </c>
      <c r="K18" s="78">
        <v>5886</v>
      </c>
      <c r="L18" s="77">
        <v>211</v>
      </c>
      <c r="M18" s="77">
        <v>664</v>
      </c>
      <c r="N18" s="77">
        <v>129</v>
      </c>
      <c r="O18" s="78">
        <v>404</v>
      </c>
      <c r="P18" s="106">
        <v>476</v>
      </c>
      <c r="Q18" s="78">
        <v>224</v>
      </c>
      <c r="R18" s="77">
        <v>4301</v>
      </c>
      <c r="S18" s="78"/>
      <c r="T18" s="106">
        <v>322</v>
      </c>
      <c r="U18" s="78">
        <v>428</v>
      </c>
      <c r="V18" s="106">
        <v>11852</v>
      </c>
      <c r="W18" s="88">
        <v>15697</v>
      </c>
      <c r="X18" s="77"/>
      <c r="Y18" s="88">
        <v>13828</v>
      </c>
      <c r="Z18" s="597">
        <v>59</v>
      </c>
      <c r="AA18" s="92">
        <v>54</v>
      </c>
      <c r="AB18" s="77">
        <v>598</v>
      </c>
      <c r="AC18" s="88">
        <v>19443</v>
      </c>
      <c r="AD18" s="77">
        <v>1828</v>
      </c>
      <c r="AE18" s="78">
        <v>3114</v>
      </c>
      <c r="AF18" s="77">
        <v>871</v>
      </c>
      <c r="AG18" s="77">
        <v>4693</v>
      </c>
      <c r="AH18" s="77">
        <v>1402</v>
      </c>
      <c r="AI18" s="78">
        <v>3085</v>
      </c>
      <c r="AJ18" s="77">
        <v>973</v>
      </c>
      <c r="AK18" s="78">
        <v>1277</v>
      </c>
      <c r="AL18" s="340"/>
      <c r="AM18" s="78">
        <f t="shared" si="14"/>
        <v>0</v>
      </c>
      <c r="AN18" s="166">
        <v>507</v>
      </c>
      <c r="AO18" s="165">
        <v>459</v>
      </c>
      <c r="AP18" s="77">
        <v>1339</v>
      </c>
      <c r="AQ18" s="78">
        <v>1659</v>
      </c>
      <c r="AR18" s="94">
        <v>20</v>
      </c>
      <c r="AS18" s="95"/>
      <c r="AT18" s="77">
        <v>9371</v>
      </c>
      <c r="AU18" s="78">
        <v>21327</v>
      </c>
      <c r="AV18" s="97">
        <f t="shared" si="15"/>
        <v>43196</v>
      </c>
      <c r="AW18" s="107">
        <f t="shared" si="16"/>
        <v>98634</v>
      </c>
      <c r="AX18" s="77">
        <v>206.2</v>
      </c>
      <c r="AY18" s="95">
        <v>258</v>
      </c>
      <c r="AZ18" s="97">
        <f t="shared" si="17"/>
        <v>43402.2</v>
      </c>
      <c r="BA18" s="98">
        <f t="shared" si="18"/>
        <v>98892</v>
      </c>
    </row>
    <row r="19" spans="1:53" s="89" customFormat="1" ht="14.25" x14ac:dyDescent="0.3">
      <c r="A19" s="151" t="s">
        <v>69</v>
      </c>
      <c r="B19" s="252">
        <v>22373</v>
      </c>
      <c r="C19" s="86">
        <v>29426</v>
      </c>
      <c r="D19" s="77">
        <v>41</v>
      </c>
      <c r="E19" s="78">
        <v>31</v>
      </c>
      <c r="F19" s="77">
        <v>1036</v>
      </c>
      <c r="G19" s="78">
        <v>1370</v>
      </c>
      <c r="H19" s="77">
        <v>25645</v>
      </c>
      <c r="I19" s="78">
        <v>37961</v>
      </c>
      <c r="J19" s="77">
        <v>3347</v>
      </c>
      <c r="K19" s="78">
        <v>2924</v>
      </c>
      <c r="L19" s="77">
        <v>21598</v>
      </c>
      <c r="M19" s="77">
        <v>25290</v>
      </c>
      <c r="N19" s="77">
        <v>749</v>
      </c>
      <c r="O19" s="78">
        <v>1717</v>
      </c>
      <c r="P19" s="106">
        <v>2096</v>
      </c>
      <c r="Q19" s="78">
        <v>2497</v>
      </c>
      <c r="R19" s="77">
        <v>307</v>
      </c>
      <c r="S19" s="78"/>
      <c r="T19" s="106">
        <v>1322</v>
      </c>
      <c r="U19" s="78">
        <v>1986</v>
      </c>
      <c r="V19" s="106">
        <v>10501</v>
      </c>
      <c r="W19" s="88">
        <v>14362</v>
      </c>
      <c r="X19" s="77">
        <v>65214</v>
      </c>
      <c r="Y19" s="88">
        <v>57360</v>
      </c>
      <c r="Z19" s="597">
        <v>5102</v>
      </c>
      <c r="AA19" s="92">
        <v>6791</v>
      </c>
      <c r="AB19" s="77">
        <v>15428</v>
      </c>
      <c r="AC19" s="88">
        <v>988</v>
      </c>
      <c r="AD19" s="77">
        <v>17305</v>
      </c>
      <c r="AE19" s="78">
        <v>21652</v>
      </c>
      <c r="AF19" s="77">
        <v>818</v>
      </c>
      <c r="AG19" s="77">
        <v>1311</v>
      </c>
      <c r="AH19" s="77">
        <v>20923</v>
      </c>
      <c r="AI19" s="78">
        <v>25340</v>
      </c>
      <c r="AJ19" s="77">
        <v>1358</v>
      </c>
      <c r="AK19" s="78">
        <v>1740</v>
      </c>
      <c r="AL19" s="340"/>
      <c r="AM19" s="78">
        <f t="shared" si="14"/>
        <v>0</v>
      </c>
      <c r="AN19" s="166">
        <v>4492</v>
      </c>
      <c r="AO19" s="165">
        <v>8965</v>
      </c>
      <c r="AP19" s="77">
        <v>6488</v>
      </c>
      <c r="AQ19" s="78">
        <v>6734</v>
      </c>
      <c r="AR19" s="94"/>
      <c r="AS19" s="95"/>
      <c r="AT19" s="77">
        <v>828</v>
      </c>
      <c r="AU19" s="78">
        <v>1401</v>
      </c>
      <c r="AV19" s="97">
        <f t="shared" si="15"/>
        <v>226971</v>
      </c>
      <c r="AW19" s="107">
        <f t="shared" si="16"/>
        <v>249846</v>
      </c>
      <c r="AX19" s="77">
        <v>1095.94</v>
      </c>
      <c r="AY19" s="95">
        <v>1349</v>
      </c>
      <c r="AZ19" s="97">
        <f t="shared" si="17"/>
        <v>228066.94</v>
      </c>
      <c r="BA19" s="98">
        <f t="shared" si="18"/>
        <v>251195</v>
      </c>
    </row>
    <row r="20" spans="1:53" s="89" customFormat="1" ht="14.25" x14ac:dyDescent="0.3">
      <c r="A20" s="151" t="s">
        <v>70</v>
      </c>
      <c r="B20" s="252"/>
      <c r="C20" s="86"/>
      <c r="D20" s="77"/>
      <c r="E20" s="78"/>
      <c r="F20" s="77">
        <v>3</v>
      </c>
      <c r="G20" s="78"/>
      <c r="H20" s="77"/>
      <c r="I20" s="78"/>
      <c r="J20" s="77"/>
      <c r="K20" s="78"/>
      <c r="L20" s="77"/>
      <c r="M20" s="77"/>
      <c r="N20" s="77"/>
      <c r="O20" s="78"/>
      <c r="P20" s="106"/>
      <c r="Q20" s="78"/>
      <c r="R20" s="77">
        <v>30</v>
      </c>
      <c r="S20" s="78"/>
      <c r="T20" s="106"/>
      <c r="U20" s="78"/>
      <c r="V20" s="106">
        <v>84049</v>
      </c>
      <c r="W20" s="88">
        <v>95430</v>
      </c>
      <c r="X20" s="77">
        <v>9112</v>
      </c>
      <c r="Y20" s="88"/>
      <c r="Z20" s="597"/>
      <c r="AA20" s="92"/>
      <c r="AB20" s="77"/>
      <c r="AC20" s="88"/>
      <c r="AD20" s="77"/>
      <c r="AE20" s="78"/>
      <c r="AF20" s="77">
        <v>66537</v>
      </c>
      <c r="AG20" s="77">
        <v>68848</v>
      </c>
      <c r="AH20" s="77"/>
      <c r="AI20" s="78"/>
      <c r="AJ20" s="77"/>
      <c r="AK20" s="78"/>
      <c r="AL20" s="340"/>
      <c r="AM20" s="78">
        <f t="shared" si="14"/>
        <v>0</v>
      </c>
      <c r="AN20" s="166">
        <v>90980</v>
      </c>
      <c r="AO20" s="165">
        <v>130940</v>
      </c>
      <c r="AP20" s="77">
        <v>56</v>
      </c>
      <c r="AQ20" s="78"/>
      <c r="AR20" s="94">
        <v>16688</v>
      </c>
      <c r="AS20" s="95"/>
      <c r="AT20" s="77">
        <v>41006</v>
      </c>
      <c r="AU20" s="78">
        <v>53599</v>
      </c>
      <c r="AV20" s="97">
        <f t="shared" si="15"/>
        <v>308461</v>
      </c>
      <c r="AW20" s="107">
        <f t="shared" si="16"/>
        <v>348817</v>
      </c>
      <c r="AX20" s="77">
        <v>10850.2</v>
      </c>
      <c r="AY20" s="95">
        <v>11728</v>
      </c>
      <c r="AZ20" s="97">
        <f t="shared" si="17"/>
        <v>319311.2</v>
      </c>
      <c r="BA20" s="98">
        <f t="shared" si="18"/>
        <v>360545</v>
      </c>
    </row>
    <row r="21" spans="1:53" s="89" customFormat="1" ht="14.25" x14ac:dyDescent="0.3">
      <c r="A21" s="151" t="s">
        <v>71</v>
      </c>
      <c r="B21" s="252"/>
      <c r="C21" s="86"/>
      <c r="D21" s="77"/>
      <c r="E21" s="78"/>
      <c r="F21" s="77"/>
      <c r="G21" s="78"/>
      <c r="H21" s="77">
        <v>817</v>
      </c>
      <c r="I21" s="78">
        <v>249</v>
      </c>
      <c r="J21" s="77"/>
      <c r="K21" s="78"/>
      <c r="L21" s="77"/>
      <c r="M21" s="78"/>
      <c r="N21" s="77">
        <v>27</v>
      </c>
      <c r="O21" s="78">
        <v>50</v>
      </c>
      <c r="P21" s="106"/>
      <c r="Q21" s="78"/>
      <c r="R21" s="77">
        <v>705</v>
      </c>
      <c r="S21" s="78"/>
      <c r="T21" s="106"/>
      <c r="U21" s="78"/>
      <c r="V21" s="106">
        <v>287</v>
      </c>
      <c r="W21" s="88">
        <v>466</v>
      </c>
      <c r="X21" s="77">
        <v>94</v>
      </c>
      <c r="Y21" s="88">
        <v>230</v>
      </c>
      <c r="Z21" s="597"/>
      <c r="AA21" s="92"/>
      <c r="AB21" s="77"/>
      <c r="AC21" s="88"/>
      <c r="AD21" s="77">
        <v>956</v>
      </c>
      <c r="AE21" s="78">
        <v>2001</v>
      </c>
      <c r="AF21" s="77"/>
      <c r="AG21" s="78"/>
      <c r="AH21" s="77"/>
      <c r="AI21" s="78"/>
      <c r="AJ21" s="77"/>
      <c r="AK21" s="78"/>
      <c r="AL21" s="340"/>
      <c r="AM21" s="78">
        <f t="shared" si="14"/>
        <v>0</v>
      </c>
      <c r="AN21" s="77"/>
      <c r="AO21" s="165"/>
      <c r="AP21" s="77"/>
      <c r="AQ21" s="78"/>
      <c r="AR21" s="94"/>
      <c r="AS21" s="95"/>
      <c r="AT21" s="77">
        <v>22</v>
      </c>
      <c r="AU21" s="78">
        <v>22</v>
      </c>
      <c r="AV21" s="97">
        <f t="shared" si="15"/>
        <v>2908</v>
      </c>
      <c r="AW21" s="107">
        <f t="shared" si="16"/>
        <v>3018</v>
      </c>
      <c r="AX21" s="77"/>
      <c r="AY21" s="95"/>
      <c r="AZ21" s="97">
        <f t="shared" si="17"/>
        <v>2908</v>
      </c>
      <c r="BA21" s="98">
        <f t="shared" si="18"/>
        <v>3018</v>
      </c>
    </row>
    <row r="22" spans="1:53" s="89" customFormat="1" ht="14.25" x14ac:dyDescent="0.3">
      <c r="A22" s="151" t="s">
        <v>15</v>
      </c>
      <c r="B22" s="69"/>
      <c r="C22" s="86"/>
      <c r="D22" s="97"/>
      <c r="E22" s="78"/>
      <c r="F22" s="97"/>
      <c r="G22" s="78"/>
      <c r="H22" s="77"/>
      <c r="I22" s="78"/>
      <c r="J22" s="97"/>
      <c r="K22" s="78"/>
      <c r="L22" s="97"/>
      <c r="M22" s="78"/>
      <c r="N22" s="97"/>
      <c r="O22" s="78"/>
      <c r="P22" s="107"/>
      <c r="Q22" s="78"/>
      <c r="R22" s="97"/>
      <c r="S22" s="78"/>
      <c r="T22" s="107"/>
      <c r="U22" s="78"/>
      <c r="V22" s="107"/>
      <c r="W22" s="88"/>
      <c r="X22" s="97"/>
      <c r="Y22" s="88"/>
      <c r="Z22" s="597"/>
      <c r="AA22" s="92"/>
      <c r="AB22" s="97">
        <v>81</v>
      </c>
      <c r="AC22" s="88">
        <v>79</v>
      </c>
      <c r="AD22" s="596"/>
      <c r="AE22" s="78"/>
      <c r="AF22" s="97"/>
      <c r="AG22" s="78"/>
      <c r="AH22" s="97"/>
      <c r="AI22" s="78"/>
      <c r="AJ22" s="97"/>
      <c r="AK22" s="101"/>
      <c r="AL22" s="340"/>
      <c r="AM22" s="78">
        <f t="shared" si="14"/>
        <v>0</v>
      </c>
      <c r="AN22" s="166"/>
      <c r="AO22" s="165"/>
      <c r="AP22" s="77"/>
      <c r="AQ22" s="78"/>
      <c r="AR22" s="94"/>
      <c r="AS22" s="95"/>
      <c r="AT22" s="97"/>
      <c r="AU22" s="78"/>
      <c r="AV22" s="97">
        <f t="shared" si="15"/>
        <v>81</v>
      </c>
      <c r="AW22" s="107">
        <f t="shared" si="16"/>
        <v>79</v>
      </c>
      <c r="AX22" s="97"/>
      <c r="AY22" s="95"/>
      <c r="AZ22" s="97">
        <f t="shared" si="17"/>
        <v>81</v>
      </c>
      <c r="BA22" s="98">
        <f t="shared" si="18"/>
        <v>79</v>
      </c>
    </row>
    <row r="23" spans="1:53" s="89" customFormat="1" ht="14.25" x14ac:dyDescent="0.3">
      <c r="A23" s="151" t="s">
        <v>17</v>
      </c>
      <c r="B23" s="252"/>
      <c r="C23" s="86"/>
      <c r="D23" s="77"/>
      <c r="E23" s="78"/>
      <c r="F23" s="77">
        <v>115</v>
      </c>
      <c r="G23" s="78">
        <v>117</v>
      </c>
      <c r="H23" s="77"/>
      <c r="I23" s="78"/>
      <c r="J23" s="77"/>
      <c r="K23" s="78"/>
      <c r="L23" s="77"/>
      <c r="M23" s="78"/>
      <c r="N23" s="77"/>
      <c r="O23" s="78"/>
      <c r="P23" s="106"/>
      <c r="Q23" s="78"/>
      <c r="R23" s="77"/>
      <c r="S23" s="78"/>
      <c r="T23" s="106">
        <v>171</v>
      </c>
      <c r="U23" s="78">
        <v>86</v>
      </c>
      <c r="V23" s="106">
        <v>88</v>
      </c>
      <c r="W23" s="88">
        <v>81</v>
      </c>
      <c r="X23" s="77">
        <v>372</v>
      </c>
      <c r="Y23" s="88">
        <v>347</v>
      </c>
      <c r="Z23" s="597"/>
      <c r="AA23" s="92"/>
      <c r="AB23" s="77"/>
      <c r="AC23" s="88"/>
      <c r="AD23" s="77"/>
      <c r="AE23" s="78">
        <v>1</v>
      </c>
      <c r="AF23" s="77">
        <v>602</v>
      </c>
      <c r="AG23" s="78">
        <v>607</v>
      </c>
      <c r="AH23" s="77">
        <v>954</v>
      </c>
      <c r="AI23" s="78">
        <v>1155</v>
      </c>
      <c r="AJ23" s="77"/>
      <c r="AK23" s="78"/>
      <c r="AL23" s="340"/>
      <c r="AM23" s="78">
        <f t="shared" si="14"/>
        <v>0</v>
      </c>
      <c r="AN23" s="166">
        <v>3</v>
      </c>
      <c r="AO23" s="165">
        <v>2</v>
      </c>
      <c r="AP23" s="77"/>
      <c r="AQ23" s="78"/>
      <c r="AR23" s="94"/>
      <c r="AS23" s="95"/>
      <c r="AT23" s="77"/>
      <c r="AU23" s="78"/>
      <c r="AV23" s="97">
        <f t="shared" si="15"/>
        <v>2305</v>
      </c>
      <c r="AW23" s="107">
        <f t="shared" si="16"/>
        <v>2396</v>
      </c>
      <c r="AX23" s="94">
        <v>1176.6600000000001</v>
      </c>
      <c r="AY23" s="95">
        <v>1746</v>
      </c>
      <c r="AZ23" s="97">
        <f t="shared" si="17"/>
        <v>3481.66</v>
      </c>
      <c r="BA23" s="98">
        <f t="shared" si="18"/>
        <v>4142</v>
      </c>
    </row>
    <row r="24" spans="1:53" s="89" customFormat="1" ht="14.25" x14ac:dyDescent="0.3">
      <c r="A24" s="151" t="s">
        <v>72</v>
      </c>
      <c r="B24" s="252">
        <v>15</v>
      </c>
      <c r="C24" s="86">
        <v>7</v>
      </c>
      <c r="D24" s="77">
        <v>109</v>
      </c>
      <c r="E24" s="78">
        <v>17</v>
      </c>
      <c r="F24" s="77"/>
      <c r="G24" s="78"/>
      <c r="H24" s="77"/>
      <c r="I24" s="78"/>
      <c r="J24" s="77">
        <v>3</v>
      </c>
      <c r="K24" s="78"/>
      <c r="L24" s="77">
        <v>79</v>
      </c>
      <c r="M24" s="78">
        <v>3</v>
      </c>
      <c r="N24" s="77"/>
      <c r="O24" s="78"/>
      <c r="P24" s="106">
        <v>1</v>
      </c>
      <c r="Q24" s="78"/>
      <c r="R24" s="77"/>
      <c r="S24" s="78"/>
      <c r="T24" s="106"/>
      <c r="U24" s="78"/>
      <c r="V24" s="106">
        <v>708</v>
      </c>
      <c r="W24" s="88">
        <v>14</v>
      </c>
      <c r="X24" s="77">
        <v>898</v>
      </c>
      <c r="Y24" s="88">
        <v>72</v>
      </c>
      <c r="Z24" s="597"/>
      <c r="AA24" s="92"/>
      <c r="AB24" s="77">
        <v>0.17</v>
      </c>
      <c r="AC24" s="88">
        <v>0.02</v>
      </c>
      <c r="AD24" s="77">
        <v>1</v>
      </c>
      <c r="AE24" s="78"/>
      <c r="AF24" s="77">
        <v>2733</v>
      </c>
      <c r="AG24" s="78">
        <v>224</v>
      </c>
      <c r="AH24" s="77">
        <v>542</v>
      </c>
      <c r="AI24" s="78">
        <v>28</v>
      </c>
      <c r="AJ24" s="77">
        <v>1</v>
      </c>
      <c r="AK24" s="78"/>
      <c r="AL24" s="340"/>
      <c r="AM24" s="78">
        <f t="shared" si="14"/>
        <v>0</v>
      </c>
      <c r="AN24" s="166">
        <v>11</v>
      </c>
      <c r="AO24" s="165">
        <v>1</v>
      </c>
      <c r="AP24" s="77">
        <v>-0.42</v>
      </c>
      <c r="AQ24" s="78">
        <v>-0.37</v>
      </c>
      <c r="AR24" s="94"/>
      <c r="AS24" s="95"/>
      <c r="AT24" s="77">
        <v>2034</v>
      </c>
      <c r="AU24" s="78">
        <v>106</v>
      </c>
      <c r="AV24" s="97">
        <f t="shared" si="15"/>
        <v>7134.75</v>
      </c>
      <c r="AW24" s="107">
        <f t="shared" si="16"/>
        <v>471.65</v>
      </c>
      <c r="AX24" s="94"/>
      <c r="AY24" s="95"/>
      <c r="AZ24" s="97">
        <f t="shared" si="17"/>
        <v>7134.75</v>
      </c>
      <c r="BA24" s="98">
        <f t="shared" si="18"/>
        <v>471.65</v>
      </c>
    </row>
    <row r="25" spans="1:53" s="89" customFormat="1" ht="14.25" x14ac:dyDescent="0.3">
      <c r="A25" s="151" t="s">
        <v>73</v>
      </c>
      <c r="B25" s="346"/>
      <c r="C25" s="86"/>
      <c r="D25" s="119"/>
      <c r="E25" s="78"/>
      <c r="F25" s="119"/>
      <c r="G25" s="78">
        <v>-1</v>
      </c>
      <c r="H25" s="119"/>
      <c r="I25" s="78"/>
      <c r="J25" s="119"/>
      <c r="K25" s="78"/>
      <c r="L25" s="119"/>
      <c r="M25" s="78"/>
      <c r="N25" s="119"/>
      <c r="O25" s="78"/>
      <c r="P25" s="116"/>
      <c r="Q25" s="78"/>
      <c r="R25" s="119"/>
      <c r="S25" s="78"/>
      <c r="T25" s="116"/>
      <c r="U25" s="78"/>
      <c r="V25" s="116"/>
      <c r="W25" s="88">
        <v>1</v>
      </c>
      <c r="X25" s="119"/>
      <c r="Y25" s="88"/>
      <c r="Z25" s="598"/>
      <c r="AA25" s="92"/>
      <c r="AB25" s="119"/>
      <c r="AC25" s="88"/>
      <c r="AD25" s="119"/>
      <c r="AE25" s="78">
        <v>1</v>
      </c>
      <c r="AF25" s="119"/>
      <c r="AG25" s="78"/>
      <c r="AH25" s="119"/>
      <c r="AI25" s="78"/>
      <c r="AJ25" s="119"/>
      <c r="AK25" s="117">
        <v>8</v>
      </c>
      <c r="AL25" s="347"/>
      <c r="AM25" s="78">
        <f t="shared" si="14"/>
        <v>0</v>
      </c>
      <c r="AN25" s="348"/>
      <c r="AO25" s="165"/>
      <c r="AP25" s="119"/>
      <c r="AQ25" s="78"/>
      <c r="AR25" s="121"/>
      <c r="AS25" s="95"/>
      <c r="AT25" s="119"/>
      <c r="AU25" s="78"/>
      <c r="AV25" s="97">
        <f t="shared" si="15"/>
        <v>0</v>
      </c>
      <c r="AW25" s="107">
        <f t="shared" si="16"/>
        <v>9</v>
      </c>
      <c r="AX25" s="121"/>
      <c r="AY25" s="95"/>
      <c r="AZ25" s="97">
        <f t="shared" si="17"/>
        <v>0</v>
      </c>
      <c r="BA25" s="98">
        <f t="shared" si="18"/>
        <v>9</v>
      </c>
    </row>
    <row r="26" spans="1:53" s="89" customFormat="1" ht="14.25" x14ac:dyDescent="0.3">
      <c r="A26" s="350" t="s">
        <v>16</v>
      </c>
      <c r="B26" s="346">
        <v>22</v>
      </c>
      <c r="C26" s="86">
        <v>184</v>
      </c>
      <c r="D26" s="119"/>
      <c r="E26" s="78"/>
      <c r="F26" s="119"/>
      <c r="G26" s="78"/>
      <c r="H26" s="119">
        <v>385</v>
      </c>
      <c r="I26" s="78">
        <v>420</v>
      </c>
      <c r="J26" s="119"/>
      <c r="K26" s="78"/>
      <c r="L26" s="119">
        <v>240</v>
      </c>
      <c r="M26" s="78">
        <v>140</v>
      </c>
      <c r="N26" s="119"/>
      <c r="O26" s="78"/>
      <c r="P26" s="116"/>
      <c r="Q26" s="78"/>
      <c r="R26" s="119">
        <v>100</v>
      </c>
      <c r="S26" s="78"/>
      <c r="T26" s="116"/>
      <c r="U26" s="78"/>
      <c r="V26" s="116">
        <v>364</v>
      </c>
      <c r="W26" s="88">
        <v>3</v>
      </c>
      <c r="X26" s="119"/>
      <c r="Y26" s="88">
        <v>20</v>
      </c>
      <c r="Z26" s="598"/>
      <c r="AA26" s="92"/>
      <c r="AB26" s="119"/>
      <c r="AC26" s="88"/>
      <c r="AD26" s="119">
        <v>119</v>
      </c>
      <c r="AE26" s="78">
        <v>26</v>
      </c>
      <c r="AF26" s="119"/>
      <c r="AG26" s="78"/>
      <c r="AH26" s="119"/>
      <c r="AI26" s="78">
        <v>5</v>
      </c>
      <c r="AJ26" s="119"/>
      <c r="AK26" s="117"/>
      <c r="AL26" s="347"/>
      <c r="AM26" s="78">
        <f t="shared" si="14"/>
        <v>0</v>
      </c>
      <c r="AN26" s="348">
        <v>15</v>
      </c>
      <c r="AO26" s="349">
        <v>28</v>
      </c>
      <c r="AP26" s="119"/>
      <c r="AQ26" s="117"/>
      <c r="AR26" s="121"/>
      <c r="AS26" s="122"/>
      <c r="AT26" s="119"/>
      <c r="AU26" s="117"/>
      <c r="AV26" s="123"/>
      <c r="AW26" s="124"/>
      <c r="AX26" s="121"/>
      <c r="AY26" s="95"/>
      <c r="AZ26" s="123"/>
      <c r="BA26" s="352"/>
    </row>
    <row r="27" spans="1:53" s="89" customFormat="1" ht="15" thickBot="1" x14ac:dyDescent="0.35">
      <c r="A27" s="350" t="s">
        <v>74</v>
      </c>
      <c r="B27" s="346"/>
      <c r="C27" s="86"/>
      <c r="D27" s="119"/>
      <c r="E27" s="78"/>
      <c r="F27" s="119"/>
      <c r="G27" s="78"/>
      <c r="H27" s="119"/>
      <c r="I27" s="78"/>
      <c r="J27" s="119"/>
      <c r="K27" s="78"/>
      <c r="L27" s="119"/>
      <c r="M27" s="78"/>
      <c r="N27" s="119"/>
      <c r="O27" s="78"/>
      <c r="P27" s="116"/>
      <c r="Q27" s="78"/>
      <c r="R27" s="119"/>
      <c r="S27" s="78"/>
      <c r="T27" s="116"/>
      <c r="U27" s="78"/>
      <c r="V27" s="116"/>
      <c r="W27" s="88"/>
      <c r="X27" s="119"/>
      <c r="Y27" s="88"/>
      <c r="Z27" s="598">
        <v>6</v>
      </c>
      <c r="AA27" s="92"/>
      <c r="AB27" s="119"/>
      <c r="AC27" s="88"/>
      <c r="AD27" s="119"/>
      <c r="AE27" s="78"/>
      <c r="AF27" s="119"/>
      <c r="AG27" s="78"/>
      <c r="AH27" s="119"/>
      <c r="AI27" s="78"/>
      <c r="AJ27" s="119"/>
      <c r="AK27" s="117"/>
      <c r="AL27" s="347"/>
      <c r="AM27" s="78">
        <f t="shared" si="14"/>
        <v>0</v>
      </c>
      <c r="AN27" s="348"/>
      <c r="AO27" s="349"/>
      <c r="AP27" s="119"/>
      <c r="AQ27" s="117">
        <v>0.06</v>
      </c>
      <c r="AR27" s="121"/>
      <c r="AS27" s="122"/>
      <c r="AT27" s="119"/>
      <c r="AU27" s="117"/>
      <c r="AV27" s="123">
        <f>SUM(B27+D27+F27+H27+J27+L27+N27+P27+R27+T27+V27+X27+Z27+AB27+AD27+AF27+AH27+AJ27+AL27+AN27+AP27+AR27+AT27)</f>
        <v>6</v>
      </c>
      <c r="AW27" s="124">
        <v>4</v>
      </c>
      <c r="AX27" s="121"/>
      <c r="AY27" s="95"/>
      <c r="AZ27" s="123">
        <f>AV27+AX27</f>
        <v>6</v>
      </c>
      <c r="BA27" s="352">
        <f>AW27+AY27</f>
        <v>4</v>
      </c>
    </row>
    <row r="28" spans="1:53" s="351" customFormat="1" ht="15" thickBot="1" x14ac:dyDescent="0.35">
      <c r="A28" s="362" t="s">
        <v>54</v>
      </c>
      <c r="B28" s="353">
        <f>SUM(B17:B27)</f>
        <v>39829</v>
      </c>
      <c r="C28" s="353">
        <f>SUM(C17:C27)</f>
        <v>50028</v>
      </c>
      <c r="D28" s="353">
        <f t="shared" ref="B28:G28" si="19">SUM(D17:D25)</f>
        <v>240</v>
      </c>
      <c r="E28" s="353">
        <f t="shared" si="19"/>
        <v>90</v>
      </c>
      <c r="F28" s="353">
        <f t="shared" si="19"/>
        <v>2076</v>
      </c>
      <c r="G28" s="353">
        <f t="shared" si="19"/>
        <v>2186</v>
      </c>
      <c r="H28" s="353">
        <f>SUM(H17:H27)</f>
        <v>51133</v>
      </c>
      <c r="I28" s="353">
        <f>SUM(I17:I27)</f>
        <v>72813</v>
      </c>
      <c r="J28" s="353">
        <f t="shared" ref="J28:AN28" si="20">SUM(J17:J27)</f>
        <v>11521</v>
      </c>
      <c r="K28" s="353">
        <f t="shared" si="20"/>
        <v>12290</v>
      </c>
      <c r="L28" s="353">
        <f t="shared" si="20"/>
        <v>22221</v>
      </c>
      <c r="M28" s="353">
        <f t="shared" si="20"/>
        <v>26178</v>
      </c>
      <c r="N28" s="353">
        <f t="shared" si="20"/>
        <v>2212</v>
      </c>
      <c r="O28" s="353">
        <f t="shared" si="20"/>
        <v>3907</v>
      </c>
      <c r="P28" s="355">
        <f t="shared" si="20"/>
        <v>6589</v>
      </c>
      <c r="Q28" s="353">
        <f t="shared" si="20"/>
        <v>7512</v>
      </c>
      <c r="R28" s="353">
        <f t="shared" si="20"/>
        <v>11996</v>
      </c>
      <c r="S28" s="353">
        <f t="shared" si="20"/>
        <v>0</v>
      </c>
      <c r="T28" s="355">
        <f t="shared" si="20"/>
        <v>2470</v>
      </c>
      <c r="U28" s="353">
        <f t="shared" si="20"/>
        <v>3624</v>
      </c>
      <c r="V28" s="353">
        <f t="shared" si="20"/>
        <v>131954</v>
      </c>
      <c r="W28" s="354">
        <f t="shared" si="20"/>
        <v>159875</v>
      </c>
      <c r="X28" s="353">
        <f t="shared" si="20"/>
        <v>111647</v>
      </c>
      <c r="Y28" s="354">
        <f t="shared" si="20"/>
        <v>111037</v>
      </c>
      <c r="Z28" s="353">
        <f t="shared" si="20"/>
        <v>5288</v>
      </c>
      <c r="AA28" s="353">
        <f t="shared" si="20"/>
        <v>7223</v>
      </c>
      <c r="AB28" s="353">
        <f t="shared" si="20"/>
        <v>17098.169999999998</v>
      </c>
      <c r="AC28" s="354">
        <f t="shared" si="20"/>
        <v>21542.02</v>
      </c>
      <c r="AD28" s="353">
        <f t="shared" si="20"/>
        <v>32800</v>
      </c>
      <c r="AE28" s="353">
        <f t="shared" si="20"/>
        <v>44572</v>
      </c>
      <c r="AF28" s="353">
        <f t="shared" si="20"/>
        <v>90795</v>
      </c>
      <c r="AG28" s="353">
        <f t="shared" si="20"/>
        <v>98536</v>
      </c>
      <c r="AH28" s="353">
        <f t="shared" si="20"/>
        <v>26189</v>
      </c>
      <c r="AI28" s="353">
        <f t="shared" si="20"/>
        <v>33897</v>
      </c>
      <c r="AJ28" s="353">
        <f t="shared" si="20"/>
        <v>10401</v>
      </c>
      <c r="AK28" s="353">
        <f t="shared" si="20"/>
        <v>11563</v>
      </c>
      <c r="AL28" s="353">
        <f>AL9</f>
        <v>0</v>
      </c>
      <c r="AM28" s="353">
        <f>AM9</f>
        <v>0</v>
      </c>
      <c r="AN28" s="353">
        <f t="shared" si="20"/>
        <v>145304</v>
      </c>
      <c r="AO28" s="356">
        <f t="shared" ref="AO28:AU28" si="21">SUM(AO17:AO27)</f>
        <v>214791</v>
      </c>
      <c r="AP28" s="357">
        <f t="shared" si="21"/>
        <v>8997.58</v>
      </c>
      <c r="AQ28" s="356">
        <f t="shared" si="21"/>
        <v>9490.6899999999987</v>
      </c>
      <c r="AR28" s="357">
        <f t="shared" si="21"/>
        <v>16724</v>
      </c>
      <c r="AS28" s="356">
        <f t="shared" si="21"/>
        <v>0</v>
      </c>
      <c r="AT28" s="357">
        <f t="shared" si="21"/>
        <v>82767</v>
      </c>
      <c r="AU28" s="356">
        <f t="shared" si="21"/>
        <v>118697</v>
      </c>
      <c r="AV28" s="357">
        <f>SUM(B28+D28+F28+H28+J28+L28+N28+P28+R28+T28+V28+X28+Z28+AB28+AD28+AF28+AH28+AJ28+AL28+AN28+AP28+AR28+AT28)</f>
        <v>830251.74999999988</v>
      </c>
      <c r="AW28" s="358">
        <f>SUM(C28+E28+G28+I28+K28+M28+O28+Q28+S28+U28+W28+Y28+AA28+AC28+AE28+AG28+AI28+AK28+AM28+AO28+AQ28+AS28+AU28)</f>
        <v>1009851.71</v>
      </c>
      <c r="AX28" s="359">
        <v>1542889.56</v>
      </c>
      <c r="AY28" s="360">
        <f>SUM(AY17:AY27)</f>
        <v>1710891</v>
      </c>
      <c r="AZ28" s="357">
        <f>AV28+AX28</f>
        <v>2373141.31</v>
      </c>
      <c r="BA28" s="361">
        <f>AW28+AY28</f>
        <v>2720742.71</v>
      </c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BA40"/>
  <sheetViews>
    <sheetView workbookViewId="0">
      <pane xSplit="1" topLeftCell="B1" activePane="topRight" state="frozen"/>
      <selection pane="topRight" sqref="A1:XFD1048576"/>
    </sheetView>
  </sheetViews>
  <sheetFormatPr defaultRowHeight="16.5" x14ac:dyDescent="0.3"/>
  <cols>
    <col min="1" max="1" width="59.42578125" style="103" bestFit="1" customWidth="1"/>
    <col min="2" max="26" width="12.42578125" style="103" bestFit="1" customWidth="1"/>
    <col min="27" max="27" width="12.42578125" style="103" customWidth="1"/>
    <col min="28" max="53" width="12.42578125" style="103" bestFit="1" customWidth="1"/>
    <col min="54" max="16384" width="9.140625" style="103"/>
  </cols>
  <sheetData>
    <row r="1" spans="1:53" ht="18" x14ac:dyDescent="0.35">
      <c r="A1" s="976" t="s">
        <v>225</v>
      </c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976"/>
      <c r="T1" s="976"/>
      <c r="U1" s="976"/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  <c r="AL1" s="976"/>
      <c r="AM1" s="976"/>
      <c r="AN1" s="976"/>
      <c r="AO1" s="976"/>
      <c r="AP1" s="976"/>
      <c r="AQ1" s="976"/>
      <c r="AR1" s="976"/>
      <c r="AS1" s="976"/>
      <c r="AT1" s="976"/>
      <c r="AU1" s="976"/>
      <c r="AV1" s="976"/>
      <c r="AW1" s="976"/>
      <c r="AX1" s="976"/>
      <c r="AY1" s="976"/>
      <c r="AZ1" s="976"/>
    </row>
    <row r="2" spans="1:53" s="685" customFormat="1" ht="18.75" thickBot="1" x14ac:dyDescent="0.4">
      <c r="A2" s="963" t="s">
        <v>368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  <c r="O2" s="963"/>
      <c r="P2" s="963"/>
      <c r="Q2" s="963"/>
      <c r="R2" s="963"/>
      <c r="S2" s="963"/>
      <c r="T2" s="963"/>
      <c r="U2" s="963"/>
      <c r="V2" s="963"/>
      <c r="W2" s="963"/>
      <c r="X2" s="963"/>
      <c r="Y2" s="963"/>
      <c r="Z2" s="963"/>
      <c r="AA2" s="963"/>
      <c r="AB2" s="963"/>
      <c r="AC2" s="963"/>
      <c r="AD2" s="963"/>
      <c r="AE2" s="963"/>
      <c r="AF2" s="963"/>
      <c r="AG2" s="963"/>
      <c r="AH2" s="963"/>
      <c r="AI2" s="963"/>
      <c r="AJ2" s="963"/>
      <c r="AK2" s="963"/>
      <c r="AL2" s="963"/>
      <c r="AM2" s="963"/>
      <c r="AN2" s="963"/>
      <c r="AO2" s="963"/>
      <c r="AP2" s="963"/>
      <c r="AQ2" s="963"/>
      <c r="AR2" s="963"/>
      <c r="AS2" s="963"/>
      <c r="AT2" s="963"/>
      <c r="AU2" s="963"/>
      <c r="AV2" s="963"/>
      <c r="AW2" s="963"/>
      <c r="AX2" s="963"/>
      <c r="AY2" s="963"/>
      <c r="AZ2" s="963"/>
    </row>
    <row r="3" spans="1:53" s="89" customFormat="1" ht="27.75" customHeight="1" thickBot="1" x14ac:dyDescent="0.3">
      <c r="A3" s="977" t="s">
        <v>0</v>
      </c>
      <c r="B3" s="979" t="s">
        <v>113</v>
      </c>
      <c r="C3" s="980"/>
      <c r="D3" s="968" t="s">
        <v>114</v>
      </c>
      <c r="E3" s="969"/>
      <c r="F3" s="968" t="s">
        <v>115</v>
      </c>
      <c r="G3" s="969"/>
      <c r="H3" s="968" t="s">
        <v>116</v>
      </c>
      <c r="I3" s="970"/>
      <c r="J3" s="968" t="s">
        <v>117</v>
      </c>
      <c r="K3" s="969"/>
      <c r="L3" s="968" t="s">
        <v>118</v>
      </c>
      <c r="M3" s="969"/>
      <c r="N3" s="968" t="s">
        <v>322</v>
      </c>
      <c r="O3" s="969"/>
      <c r="P3" s="968" t="s">
        <v>119</v>
      </c>
      <c r="Q3" s="969"/>
      <c r="R3" s="968" t="s">
        <v>120</v>
      </c>
      <c r="S3" s="969"/>
      <c r="T3" s="968" t="s">
        <v>121</v>
      </c>
      <c r="U3" s="969"/>
      <c r="V3" s="968" t="s">
        <v>122</v>
      </c>
      <c r="W3" s="969"/>
      <c r="X3" s="968" t="s">
        <v>123</v>
      </c>
      <c r="Y3" s="970"/>
      <c r="Z3" s="968" t="s">
        <v>224</v>
      </c>
      <c r="AA3" s="969"/>
      <c r="AB3" s="968" t="s">
        <v>124</v>
      </c>
      <c r="AC3" s="969"/>
      <c r="AD3" s="968" t="s">
        <v>125</v>
      </c>
      <c r="AE3" s="969"/>
      <c r="AF3" s="968" t="s">
        <v>126</v>
      </c>
      <c r="AG3" s="969"/>
      <c r="AH3" s="968" t="s">
        <v>127</v>
      </c>
      <c r="AI3" s="969"/>
      <c r="AJ3" s="968" t="s">
        <v>128</v>
      </c>
      <c r="AK3" s="969"/>
      <c r="AL3" s="968" t="s">
        <v>129</v>
      </c>
      <c r="AM3" s="969"/>
      <c r="AN3" s="968" t="s">
        <v>130</v>
      </c>
      <c r="AO3" s="970"/>
      <c r="AP3" s="971" t="s">
        <v>131</v>
      </c>
      <c r="AQ3" s="971"/>
      <c r="AR3" s="972" t="s">
        <v>132</v>
      </c>
      <c r="AS3" s="973"/>
      <c r="AT3" s="968" t="s">
        <v>133</v>
      </c>
      <c r="AU3" s="969"/>
      <c r="AV3" s="911" t="s">
        <v>1</v>
      </c>
      <c r="AW3" s="960"/>
      <c r="AX3" s="974" t="s">
        <v>134</v>
      </c>
      <c r="AY3" s="975"/>
      <c r="AZ3" s="960" t="s">
        <v>2</v>
      </c>
      <c r="BA3" s="912"/>
    </row>
    <row r="4" spans="1:53" s="363" customFormat="1" ht="15" customHeight="1" thickBot="1" x14ac:dyDescent="0.35">
      <c r="A4" s="978"/>
      <c r="B4" s="686" t="s">
        <v>220</v>
      </c>
      <c r="C4" s="687" t="s">
        <v>390</v>
      </c>
      <c r="D4" s="686" t="s">
        <v>220</v>
      </c>
      <c r="E4" s="687" t="s">
        <v>390</v>
      </c>
      <c r="F4" s="686" t="s">
        <v>220</v>
      </c>
      <c r="G4" s="687" t="s">
        <v>390</v>
      </c>
      <c r="H4" s="686" t="s">
        <v>220</v>
      </c>
      <c r="I4" s="687" t="s">
        <v>390</v>
      </c>
      <c r="J4" s="686" t="s">
        <v>220</v>
      </c>
      <c r="K4" s="687" t="s">
        <v>390</v>
      </c>
      <c r="L4" s="686" t="s">
        <v>220</v>
      </c>
      <c r="M4" s="687" t="s">
        <v>390</v>
      </c>
      <c r="N4" s="686" t="s">
        <v>220</v>
      </c>
      <c r="O4" s="687" t="s">
        <v>390</v>
      </c>
      <c r="P4" s="686" t="s">
        <v>220</v>
      </c>
      <c r="Q4" s="687" t="s">
        <v>390</v>
      </c>
      <c r="R4" s="686" t="s">
        <v>220</v>
      </c>
      <c r="S4" s="687" t="s">
        <v>390</v>
      </c>
      <c r="T4" s="686" t="s">
        <v>220</v>
      </c>
      <c r="U4" s="687" t="s">
        <v>390</v>
      </c>
      <c r="V4" s="686" t="s">
        <v>220</v>
      </c>
      <c r="W4" s="687" t="s">
        <v>390</v>
      </c>
      <c r="X4" s="686" t="s">
        <v>220</v>
      </c>
      <c r="Y4" s="687" t="s">
        <v>390</v>
      </c>
      <c r="Z4" s="686" t="s">
        <v>220</v>
      </c>
      <c r="AA4" s="687" t="s">
        <v>390</v>
      </c>
      <c r="AB4" s="686" t="s">
        <v>220</v>
      </c>
      <c r="AC4" s="687" t="s">
        <v>390</v>
      </c>
      <c r="AD4" s="686" t="s">
        <v>220</v>
      </c>
      <c r="AE4" s="687" t="s">
        <v>390</v>
      </c>
      <c r="AF4" s="686" t="s">
        <v>220</v>
      </c>
      <c r="AG4" s="687" t="s">
        <v>390</v>
      </c>
      <c r="AH4" s="686" t="s">
        <v>220</v>
      </c>
      <c r="AI4" s="687" t="s">
        <v>390</v>
      </c>
      <c r="AJ4" s="686" t="s">
        <v>220</v>
      </c>
      <c r="AK4" s="687" t="s">
        <v>390</v>
      </c>
      <c r="AL4" s="686" t="s">
        <v>220</v>
      </c>
      <c r="AM4" s="687" t="s">
        <v>390</v>
      </c>
      <c r="AN4" s="686" t="s">
        <v>220</v>
      </c>
      <c r="AO4" s="687" t="s">
        <v>390</v>
      </c>
      <c r="AP4" s="686" t="s">
        <v>220</v>
      </c>
      <c r="AQ4" s="687" t="s">
        <v>390</v>
      </c>
      <c r="AR4" s="686" t="s">
        <v>220</v>
      </c>
      <c r="AS4" s="687" t="s">
        <v>390</v>
      </c>
      <c r="AT4" s="686" t="s">
        <v>220</v>
      </c>
      <c r="AU4" s="687" t="s">
        <v>390</v>
      </c>
      <c r="AV4" s="686" t="s">
        <v>220</v>
      </c>
      <c r="AW4" s="687" t="s">
        <v>390</v>
      </c>
      <c r="AX4" s="686" t="s">
        <v>220</v>
      </c>
      <c r="AY4" s="687" t="s">
        <v>390</v>
      </c>
      <c r="AZ4" s="686" t="s">
        <v>220</v>
      </c>
      <c r="BA4" s="653" t="s">
        <v>390</v>
      </c>
    </row>
    <row r="5" spans="1:53" ht="15" customHeight="1" x14ac:dyDescent="0.3">
      <c r="A5" s="688" t="s">
        <v>226</v>
      </c>
      <c r="B5" s="689">
        <v>54231</v>
      </c>
      <c r="C5" s="690">
        <v>69322</v>
      </c>
      <c r="D5" s="689">
        <v>5927</v>
      </c>
      <c r="E5" s="690">
        <v>5626</v>
      </c>
      <c r="F5" s="691">
        <v>11622</v>
      </c>
      <c r="G5" s="690">
        <v>11094</v>
      </c>
      <c r="H5" s="689">
        <v>128034</v>
      </c>
      <c r="I5" s="690">
        <v>159427</v>
      </c>
      <c r="J5" s="689">
        <v>33315</v>
      </c>
      <c r="K5" s="690">
        <v>35538</v>
      </c>
      <c r="L5" s="689">
        <v>31621</v>
      </c>
      <c r="M5" s="690">
        <v>34201</v>
      </c>
      <c r="N5" s="689">
        <v>12651</v>
      </c>
      <c r="O5" s="690">
        <v>13782</v>
      </c>
      <c r="P5" s="689">
        <v>21243</v>
      </c>
      <c r="Q5" s="690">
        <v>21962</v>
      </c>
      <c r="R5" s="689">
        <v>23086</v>
      </c>
      <c r="S5" s="690"/>
      <c r="T5" s="689">
        <v>23245</v>
      </c>
      <c r="U5" s="690">
        <v>24641</v>
      </c>
      <c r="V5" s="689">
        <v>145745</v>
      </c>
      <c r="W5" s="690">
        <v>199781</v>
      </c>
      <c r="X5" s="689">
        <v>88231</v>
      </c>
      <c r="Y5" s="690">
        <v>105715</v>
      </c>
      <c r="Z5" s="689">
        <v>10042</v>
      </c>
      <c r="AA5" s="690">
        <v>14252</v>
      </c>
      <c r="AB5" s="689">
        <v>21990</v>
      </c>
      <c r="AC5" s="690">
        <v>25964</v>
      </c>
      <c r="AD5" s="689">
        <v>77401</v>
      </c>
      <c r="AE5" s="690">
        <v>85338</v>
      </c>
      <c r="AF5" s="689">
        <v>122685</v>
      </c>
      <c r="AG5" s="690">
        <v>133367</v>
      </c>
      <c r="AH5" s="689">
        <v>51495</v>
      </c>
      <c r="AI5" s="690">
        <v>61355</v>
      </c>
      <c r="AJ5" s="689">
        <v>53773</v>
      </c>
      <c r="AK5" s="690">
        <v>59799</v>
      </c>
      <c r="AL5" s="689"/>
      <c r="AM5" s="690"/>
      <c r="AN5" s="692">
        <v>120014</v>
      </c>
      <c r="AO5" s="693">
        <v>133887</v>
      </c>
      <c r="AP5" s="689">
        <v>22899</v>
      </c>
      <c r="AQ5" s="690">
        <v>25756</v>
      </c>
      <c r="AR5" s="689">
        <v>23971</v>
      </c>
      <c r="AS5" s="690"/>
      <c r="AT5" s="689">
        <v>73829</v>
      </c>
      <c r="AU5" s="690">
        <v>100110</v>
      </c>
      <c r="AV5" s="689">
        <f>SUM(B5+D5+F5+H5+J5+L5+N5+P5+R5+T5+V5+X5+Z5+AB5+AD5+AF5+AH5+AJ5+AL5+AN5+AP5+AR5+AT5)</f>
        <v>1157050</v>
      </c>
      <c r="AW5" s="768">
        <f>SUM(C5+E5+G5+I5+K5+M5+O5+Q5+S5+U5+W5+Y5+AA5+AC5+AE5+AG5+AI5+AK5+AM5+AO5+AQ5+AS5+AU5)</f>
        <v>1320917</v>
      </c>
      <c r="AX5" s="689">
        <v>2174742.66</v>
      </c>
      <c r="AY5" s="690">
        <v>2971339</v>
      </c>
      <c r="AZ5" s="694">
        <f>AV5+AX5</f>
        <v>3331792.66</v>
      </c>
      <c r="BA5" s="771">
        <f>AW5+AY5</f>
        <v>4292256</v>
      </c>
    </row>
    <row r="6" spans="1:53" x14ac:dyDescent="0.3">
      <c r="A6" s="695" t="s">
        <v>227</v>
      </c>
      <c r="B6" s="696">
        <v>685</v>
      </c>
      <c r="C6" s="690">
        <v>1809</v>
      </c>
      <c r="D6" s="691">
        <v>36</v>
      </c>
      <c r="E6" s="690">
        <v>140</v>
      </c>
      <c r="F6" s="691">
        <v>68</v>
      </c>
      <c r="G6" s="690">
        <v>217</v>
      </c>
      <c r="H6" s="691">
        <v>1566</v>
      </c>
      <c r="I6" s="690">
        <v>4543</v>
      </c>
      <c r="J6" s="691">
        <v>474</v>
      </c>
      <c r="K6" s="690">
        <v>861</v>
      </c>
      <c r="L6" s="691">
        <v>1215</v>
      </c>
      <c r="M6" s="690">
        <v>1469</v>
      </c>
      <c r="N6" s="691">
        <v>58</v>
      </c>
      <c r="O6" s="690">
        <v>241</v>
      </c>
      <c r="P6" s="691">
        <v>325</v>
      </c>
      <c r="Q6" s="690">
        <v>887</v>
      </c>
      <c r="R6" s="691">
        <v>485</v>
      </c>
      <c r="S6" s="690"/>
      <c r="T6" s="691">
        <v>100</v>
      </c>
      <c r="U6" s="690">
        <v>351</v>
      </c>
      <c r="V6" s="691">
        <v>1060</v>
      </c>
      <c r="W6" s="690">
        <v>4480</v>
      </c>
      <c r="X6" s="691">
        <v>1775</v>
      </c>
      <c r="Y6" s="690">
        <v>4427</v>
      </c>
      <c r="Z6" s="697">
        <v>113</v>
      </c>
      <c r="AA6" s="690">
        <v>395</v>
      </c>
      <c r="AB6" s="691">
        <v>1035</v>
      </c>
      <c r="AC6" s="690">
        <v>1563</v>
      </c>
      <c r="AD6" s="691">
        <v>837</v>
      </c>
      <c r="AE6" s="690">
        <v>1429</v>
      </c>
      <c r="AF6" s="691">
        <v>2128</v>
      </c>
      <c r="AG6" s="690">
        <v>1279</v>
      </c>
      <c r="AH6" s="691">
        <v>637</v>
      </c>
      <c r="AI6" s="690">
        <v>1407</v>
      </c>
      <c r="AJ6" s="691">
        <v>610</v>
      </c>
      <c r="AK6" s="690">
        <v>1742</v>
      </c>
      <c r="AL6" s="698"/>
      <c r="AM6" s="690"/>
      <c r="AN6" s="699">
        <v>4836</v>
      </c>
      <c r="AO6" s="693">
        <v>7117</v>
      </c>
      <c r="AP6" s="691">
        <v>1294</v>
      </c>
      <c r="AQ6" s="690">
        <v>1672</v>
      </c>
      <c r="AR6" s="700">
        <v>267</v>
      </c>
      <c r="AS6" s="690"/>
      <c r="AT6" s="691">
        <v>1456</v>
      </c>
      <c r="AU6" s="690">
        <v>4955</v>
      </c>
      <c r="AV6" s="689">
        <f t="shared" ref="AV6:AV38" si="0">SUM(B6+D6+F6+H6+J6+L6+N6+P6+R6+T6+V6+X6+Z6+AB6+AD6+AF6+AH6+AJ6+AL6+AN6+AP6+AR6+AT6)</f>
        <v>21060</v>
      </c>
      <c r="AW6" s="768">
        <f t="shared" ref="AW6:AW38" si="1">SUM(C6+E6+G6+I6+K6+M6+O6+Q6+S6+U6+W6+Y6+AA6+AC6+AE6+AG6+AI6+AK6+AM6+AO6+AQ6+AS6+AU6)</f>
        <v>40984</v>
      </c>
      <c r="AX6" s="700">
        <v>24307.58</v>
      </c>
      <c r="AY6" s="690">
        <v>25157</v>
      </c>
      <c r="AZ6" s="694">
        <f t="shared" ref="AZ6:AZ38" si="2">AV6+AX6</f>
        <v>45367.58</v>
      </c>
      <c r="BA6" s="771">
        <f t="shared" ref="BA6:BA38" si="3">AW6+AY6</f>
        <v>66141</v>
      </c>
    </row>
    <row r="7" spans="1:53" x14ac:dyDescent="0.3">
      <c r="A7" s="695" t="s">
        <v>228</v>
      </c>
      <c r="B7" s="696">
        <v>628</v>
      </c>
      <c r="C7" s="690">
        <v>4038</v>
      </c>
      <c r="D7" s="691">
        <v>21</v>
      </c>
      <c r="E7" s="690">
        <v>32</v>
      </c>
      <c r="F7" s="691"/>
      <c r="G7" s="690">
        <v>2</v>
      </c>
      <c r="H7" s="691">
        <v>1222</v>
      </c>
      <c r="I7" s="690">
        <v>6321</v>
      </c>
      <c r="J7" s="691">
        <v>164</v>
      </c>
      <c r="K7" s="690">
        <v>269</v>
      </c>
      <c r="L7" s="691">
        <v>267</v>
      </c>
      <c r="M7" s="690">
        <v>645</v>
      </c>
      <c r="N7" s="691">
        <v>15</v>
      </c>
      <c r="O7" s="690">
        <v>21</v>
      </c>
      <c r="P7" s="691">
        <v>203</v>
      </c>
      <c r="Q7" s="690">
        <v>823</v>
      </c>
      <c r="R7" s="691"/>
      <c r="S7" s="690"/>
      <c r="T7" s="691">
        <v>829</v>
      </c>
      <c r="U7" s="690">
        <v>943</v>
      </c>
      <c r="V7" s="691">
        <v>6351</v>
      </c>
      <c r="W7" s="690">
        <v>5056</v>
      </c>
      <c r="X7" s="691">
        <v>488</v>
      </c>
      <c r="Y7" s="690">
        <v>952</v>
      </c>
      <c r="Z7" s="697">
        <v>22</v>
      </c>
      <c r="AA7" s="690">
        <v>80</v>
      </c>
      <c r="AB7" s="691">
        <v>1228</v>
      </c>
      <c r="AC7" s="690">
        <v>1994</v>
      </c>
      <c r="AD7" s="691">
        <v>118</v>
      </c>
      <c r="AE7" s="690">
        <v>917</v>
      </c>
      <c r="AF7" s="691">
        <v>4689</v>
      </c>
      <c r="AG7" s="690">
        <v>4494</v>
      </c>
      <c r="AH7" s="691">
        <v>218</v>
      </c>
      <c r="AI7" s="690">
        <v>1615</v>
      </c>
      <c r="AJ7" s="691">
        <v>496</v>
      </c>
      <c r="AK7" s="690">
        <v>617</v>
      </c>
      <c r="AL7" s="698"/>
      <c r="AM7" s="690"/>
      <c r="AN7" s="699">
        <v>2851</v>
      </c>
      <c r="AO7" s="693">
        <v>9880</v>
      </c>
      <c r="AP7" s="691">
        <v>162</v>
      </c>
      <c r="AQ7" s="690">
        <v>270</v>
      </c>
      <c r="AR7" s="700">
        <v>481</v>
      </c>
      <c r="AS7" s="690"/>
      <c r="AT7" s="691">
        <v>4165</v>
      </c>
      <c r="AU7" s="690">
        <v>13880</v>
      </c>
      <c r="AV7" s="689">
        <f t="shared" si="0"/>
        <v>24618</v>
      </c>
      <c r="AW7" s="768">
        <f t="shared" si="1"/>
        <v>52849</v>
      </c>
      <c r="AX7" s="700">
        <v>857.99</v>
      </c>
      <c r="AY7" s="690">
        <v>2945</v>
      </c>
      <c r="AZ7" s="694">
        <f t="shared" si="2"/>
        <v>25475.99</v>
      </c>
      <c r="BA7" s="771">
        <f t="shared" si="3"/>
        <v>55794</v>
      </c>
    </row>
    <row r="8" spans="1:53" x14ac:dyDescent="0.3">
      <c r="A8" s="695" t="s">
        <v>229</v>
      </c>
      <c r="B8" s="696">
        <v>3954</v>
      </c>
      <c r="C8" s="690">
        <v>4012</v>
      </c>
      <c r="D8" s="691">
        <v>142</v>
      </c>
      <c r="E8" s="690">
        <v>103</v>
      </c>
      <c r="F8" s="691">
        <v>2090</v>
      </c>
      <c r="G8" s="690">
        <v>1436</v>
      </c>
      <c r="H8" s="691">
        <v>2323</v>
      </c>
      <c r="I8" s="690">
        <v>2133</v>
      </c>
      <c r="J8" s="691">
        <v>1546</v>
      </c>
      <c r="K8" s="690">
        <v>1570</v>
      </c>
      <c r="L8" s="691">
        <v>712</v>
      </c>
      <c r="M8" s="690">
        <v>778</v>
      </c>
      <c r="N8" s="691">
        <v>1392</v>
      </c>
      <c r="O8" s="690">
        <v>1452</v>
      </c>
      <c r="P8" s="691">
        <v>1053</v>
      </c>
      <c r="Q8" s="690">
        <v>942</v>
      </c>
      <c r="R8" s="691">
        <v>2386</v>
      </c>
      <c r="S8" s="690"/>
      <c r="T8" s="691">
        <v>1784</v>
      </c>
      <c r="U8" s="690">
        <v>1480</v>
      </c>
      <c r="V8" s="691">
        <v>7983</v>
      </c>
      <c r="W8" s="690">
        <v>9775</v>
      </c>
      <c r="X8" s="691">
        <v>4974</v>
      </c>
      <c r="Y8" s="690">
        <v>5229</v>
      </c>
      <c r="Z8" s="697">
        <v>609</v>
      </c>
      <c r="AA8" s="690">
        <v>605</v>
      </c>
      <c r="AB8" s="691">
        <v>1614</v>
      </c>
      <c r="AC8" s="690">
        <v>3022</v>
      </c>
      <c r="AD8" s="691">
        <v>3919</v>
      </c>
      <c r="AE8" s="690">
        <v>4278</v>
      </c>
      <c r="AF8" s="691">
        <v>5785</v>
      </c>
      <c r="AG8" s="690">
        <v>5600</v>
      </c>
      <c r="AH8" s="691">
        <v>1667</v>
      </c>
      <c r="AI8" s="690">
        <v>2079</v>
      </c>
      <c r="AJ8" s="691">
        <f>3390+1789</f>
        <v>5179</v>
      </c>
      <c r="AK8" s="690">
        <f>3688+1944</f>
        <v>5632</v>
      </c>
      <c r="AL8" s="698"/>
      <c r="AM8" s="690"/>
      <c r="AN8" s="699">
        <v>6756</v>
      </c>
      <c r="AO8" s="693">
        <v>7213</v>
      </c>
      <c r="AP8" s="691">
        <v>1051</v>
      </c>
      <c r="AQ8" s="690">
        <v>1246</v>
      </c>
      <c r="AR8" s="700">
        <v>1131</v>
      </c>
      <c r="AS8" s="690"/>
      <c r="AT8" s="691">
        <v>2327</v>
      </c>
      <c r="AU8" s="690">
        <v>2695</v>
      </c>
      <c r="AV8" s="689">
        <f t="shared" si="0"/>
        <v>60377</v>
      </c>
      <c r="AW8" s="768">
        <f t="shared" si="1"/>
        <v>61280</v>
      </c>
      <c r="AX8" s="700">
        <v>47628.480000000003</v>
      </c>
      <c r="AY8" s="690">
        <v>50102</v>
      </c>
      <c r="AZ8" s="694">
        <f t="shared" si="2"/>
        <v>108005.48000000001</v>
      </c>
      <c r="BA8" s="771">
        <f t="shared" si="3"/>
        <v>111382</v>
      </c>
    </row>
    <row r="9" spans="1:53" x14ac:dyDescent="0.3">
      <c r="A9" s="695" t="s">
        <v>230</v>
      </c>
      <c r="B9" s="696">
        <v>1866</v>
      </c>
      <c r="C9" s="690">
        <v>1855</v>
      </c>
      <c r="D9" s="691">
        <v>3</v>
      </c>
      <c r="E9" s="690">
        <v>2</v>
      </c>
      <c r="F9" s="691">
        <v>948</v>
      </c>
      <c r="G9" s="690">
        <v>743</v>
      </c>
      <c r="H9" s="691">
        <v>602</v>
      </c>
      <c r="I9" s="690">
        <v>689</v>
      </c>
      <c r="J9" s="691">
        <v>276</v>
      </c>
      <c r="K9" s="690">
        <v>247</v>
      </c>
      <c r="L9" s="691">
        <v>145</v>
      </c>
      <c r="M9" s="690">
        <v>215</v>
      </c>
      <c r="N9" s="691">
        <v>472</v>
      </c>
      <c r="O9" s="690">
        <v>493</v>
      </c>
      <c r="P9" s="691">
        <v>677</v>
      </c>
      <c r="Q9" s="690">
        <v>714</v>
      </c>
      <c r="R9" s="691">
        <v>599</v>
      </c>
      <c r="S9" s="690"/>
      <c r="T9" s="691">
        <v>736</v>
      </c>
      <c r="U9" s="690">
        <v>810</v>
      </c>
      <c r="V9" s="691">
        <v>209</v>
      </c>
      <c r="W9" s="690">
        <v>1327</v>
      </c>
      <c r="X9" s="691">
        <v>2622</v>
      </c>
      <c r="Y9" s="690">
        <v>2752</v>
      </c>
      <c r="Z9" s="697">
        <v>35</v>
      </c>
      <c r="AA9" s="690">
        <v>30</v>
      </c>
      <c r="AB9" s="691">
        <v>245</v>
      </c>
      <c r="AC9" s="690">
        <v>296</v>
      </c>
      <c r="AD9" s="691">
        <v>1213</v>
      </c>
      <c r="AE9" s="690">
        <v>1174</v>
      </c>
      <c r="AF9" s="691">
        <v>2669</v>
      </c>
      <c r="AG9" s="690">
        <v>2778</v>
      </c>
      <c r="AH9" s="691">
        <v>210</v>
      </c>
      <c r="AI9" s="690">
        <v>264</v>
      </c>
      <c r="AJ9" s="691">
        <v>210</v>
      </c>
      <c r="AK9" s="690">
        <v>305</v>
      </c>
      <c r="AL9" s="698"/>
      <c r="AM9" s="690"/>
      <c r="AN9" s="699">
        <v>6248</v>
      </c>
      <c r="AO9" s="693">
        <v>6758</v>
      </c>
      <c r="AP9" s="691">
        <v>22</v>
      </c>
      <c r="AQ9" s="690">
        <v>32</v>
      </c>
      <c r="AR9" s="700">
        <v>1003</v>
      </c>
      <c r="AS9" s="690"/>
      <c r="AT9" s="691">
        <v>1600</v>
      </c>
      <c r="AU9" s="690">
        <v>2251</v>
      </c>
      <c r="AV9" s="689">
        <f t="shared" si="0"/>
        <v>22610</v>
      </c>
      <c r="AW9" s="768">
        <f t="shared" si="1"/>
        <v>23735</v>
      </c>
      <c r="AX9" s="700">
        <v>8487.25</v>
      </c>
      <c r="AY9" s="690">
        <v>9958</v>
      </c>
      <c r="AZ9" s="694">
        <f t="shared" si="2"/>
        <v>31097.25</v>
      </c>
      <c r="BA9" s="771">
        <f t="shared" si="3"/>
        <v>33693</v>
      </c>
    </row>
    <row r="10" spans="1:53" x14ac:dyDescent="0.3">
      <c r="A10" s="695" t="s">
        <v>231</v>
      </c>
      <c r="B10" s="696">
        <v>248</v>
      </c>
      <c r="C10" s="690">
        <v>301</v>
      </c>
      <c r="D10" s="691">
        <v>14</v>
      </c>
      <c r="E10" s="690">
        <v>1</v>
      </c>
      <c r="F10" s="691">
        <v>99</v>
      </c>
      <c r="G10" s="690">
        <v>115</v>
      </c>
      <c r="H10" s="691">
        <v>247</v>
      </c>
      <c r="I10" s="690">
        <v>300</v>
      </c>
      <c r="J10" s="691">
        <v>266</v>
      </c>
      <c r="K10" s="690">
        <v>239</v>
      </c>
      <c r="L10" s="691">
        <v>244</v>
      </c>
      <c r="M10" s="690">
        <v>202</v>
      </c>
      <c r="N10" s="691">
        <v>22</v>
      </c>
      <c r="O10" s="690">
        <v>33</v>
      </c>
      <c r="P10" s="691">
        <v>142</v>
      </c>
      <c r="Q10" s="690">
        <v>124</v>
      </c>
      <c r="R10" s="691">
        <v>133</v>
      </c>
      <c r="S10" s="690"/>
      <c r="T10" s="691">
        <v>49</v>
      </c>
      <c r="U10" s="690">
        <v>54</v>
      </c>
      <c r="V10" s="691">
        <v>1197</v>
      </c>
      <c r="W10" s="690">
        <v>1282</v>
      </c>
      <c r="X10" s="691">
        <v>403</v>
      </c>
      <c r="Y10" s="690">
        <v>362</v>
      </c>
      <c r="Z10" s="691">
        <v>133</v>
      </c>
      <c r="AA10" s="690">
        <v>156</v>
      </c>
      <c r="AB10" s="691">
        <v>172</v>
      </c>
      <c r="AC10" s="690">
        <v>234</v>
      </c>
      <c r="AD10" s="691">
        <v>419</v>
      </c>
      <c r="AE10" s="690">
        <v>322</v>
      </c>
      <c r="AF10" s="691">
        <v>458</v>
      </c>
      <c r="AG10" s="690">
        <v>671</v>
      </c>
      <c r="AH10" s="691">
        <v>301</v>
      </c>
      <c r="AI10" s="690">
        <v>565</v>
      </c>
      <c r="AJ10" s="691">
        <v>213</v>
      </c>
      <c r="AK10" s="690">
        <v>199</v>
      </c>
      <c r="AL10" s="698"/>
      <c r="AM10" s="690"/>
      <c r="AN10" s="699">
        <v>811</v>
      </c>
      <c r="AO10" s="693">
        <v>898</v>
      </c>
      <c r="AP10" s="691">
        <v>177</v>
      </c>
      <c r="AQ10" s="690">
        <v>249</v>
      </c>
      <c r="AR10" s="700">
        <v>108</v>
      </c>
      <c r="AS10" s="690"/>
      <c r="AT10" s="691">
        <v>310</v>
      </c>
      <c r="AU10" s="690">
        <v>573</v>
      </c>
      <c r="AV10" s="689">
        <f t="shared" si="0"/>
        <v>6166</v>
      </c>
      <c r="AW10" s="768">
        <f t="shared" si="1"/>
        <v>6880</v>
      </c>
      <c r="AX10" s="691">
        <v>9701.77</v>
      </c>
      <c r="AY10" s="690">
        <v>18330</v>
      </c>
      <c r="AZ10" s="694">
        <f t="shared" si="2"/>
        <v>15867.77</v>
      </c>
      <c r="BA10" s="771">
        <f t="shared" si="3"/>
        <v>25210</v>
      </c>
    </row>
    <row r="11" spans="1:53" x14ac:dyDescent="0.3">
      <c r="A11" s="695" t="s">
        <v>232</v>
      </c>
      <c r="B11" s="696">
        <v>665</v>
      </c>
      <c r="C11" s="690">
        <v>801</v>
      </c>
      <c r="D11" s="691">
        <v>99</v>
      </c>
      <c r="E11" s="690">
        <v>137</v>
      </c>
      <c r="F11" s="691">
        <v>333</v>
      </c>
      <c r="G11" s="690">
        <v>339</v>
      </c>
      <c r="H11" s="691">
        <v>3552</v>
      </c>
      <c r="I11" s="690">
        <v>3112</v>
      </c>
      <c r="J11" s="691">
        <v>268</v>
      </c>
      <c r="K11" s="690">
        <v>409</v>
      </c>
      <c r="L11" s="691">
        <v>2213</v>
      </c>
      <c r="M11" s="690">
        <v>3274</v>
      </c>
      <c r="N11" s="691">
        <v>183</v>
      </c>
      <c r="O11" s="690">
        <v>229</v>
      </c>
      <c r="P11" s="691">
        <v>231</v>
      </c>
      <c r="Q11" s="690">
        <v>193</v>
      </c>
      <c r="R11" s="691">
        <v>213</v>
      </c>
      <c r="S11" s="690"/>
      <c r="T11" s="691">
        <v>298</v>
      </c>
      <c r="U11" s="690">
        <v>251</v>
      </c>
      <c r="V11" s="691">
        <v>1552</v>
      </c>
      <c r="W11" s="690">
        <v>2437</v>
      </c>
      <c r="X11" s="691">
        <v>8453</v>
      </c>
      <c r="Y11" s="690">
        <v>10750</v>
      </c>
      <c r="Z11" s="691">
        <v>280</v>
      </c>
      <c r="AA11" s="690">
        <v>251</v>
      </c>
      <c r="AB11" s="691">
        <v>799</v>
      </c>
      <c r="AC11" s="690">
        <v>744</v>
      </c>
      <c r="AD11" s="701">
        <v>885</v>
      </c>
      <c r="AE11" s="690">
        <v>809</v>
      </c>
      <c r="AF11" s="691">
        <v>4489</v>
      </c>
      <c r="AG11" s="690">
        <v>4410</v>
      </c>
      <c r="AH11" s="691">
        <v>802</v>
      </c>
      <c r="AI11" s="690">
        <v>756</v>
      </c>
      <c r="AJ11" s="691">
        <v>572</v>
      </c>
      <c r="AK11" s="690">
        <v>520</v>
      </c>
      <c r="AL11" s="698"/>
      <c r="AM11" s="690"/>
      <c r="AN11" s="699">
        <v>4308</v>
      </c>
      <c r="AO11" s="693">
        <v>4599</v>
      </c>
      <c r="AP11" s="691">
        <v>508</v>
      </c>
      <c r="AQ11" s="690">
        <v>484</v>
      </c>
      <c r="AR11" s="700">
        <v>240</v>
      </c>
      <c r="AS11" s="690"/>
      <c r="AT11" s="691">
        <v>1858</v>
      </c>
      <c r="AU11" s="690">
        <v>10538</v>
      </c>
      <c r="AV11" s="689">
        <f t="shared" si="0"/>
        <v>32801</v>
      </c>
      <c r="AW11" s="768">
        <f t="shared" si="1"/>
        <v>45043</v>
      </c>
      <c r="AX11" s="700">
        <v>16129.29</v>
      </c>
      <c r="AY11" s="690">
        <v>20056</v>
      </c>
      <c r="AZ11" s="694">
        <f t="shared" si="2"/>
        <v>48930.29</v>
      </c>
      <c r="BA11" s="771">
        <f t="shared" si="3"/>
        <v>65099</v>
      </c>
    </row>
    <row r="12" spans="1:53" x14ac:dyDescent="0.3">
      <c r="A12" s="695" t="s">
        <v>233</v>
      </c>
      <c r="B12" s="696">
        <v>688</v>
      </c>
      <c r="C12" s="690">
        <v>903</v>
      </c>
      <c r="D12" s="691">
        <v>307</v>
      </c>
      <c r="E12" s="690">
        <v>186</v>
      </c>
      <c r="F12" s="691">
        <v>522</v>
      </c>
      <c r="G12" s="690">
        <v>326</v>
      </c>
      <c r="H12" s="691">
        <v>6781</v>
      </c>
      <c r="I12" s="690">
        <v>10303</v>
      </c>
      <c r="J12" s="691">
        <v>2940</v>
      </c>
      <c r="K12" s="690">
        <v>2699</v>
      </c>
      <c r="L12" s="691">
        <v>1357</v>
      </c>
      <c r="M12" s="690">
        <v>1839</v>
      </c>
      <c r="N12" s="691">
        <v>721</v>
      </c>
      <c r="O12" s="690">
        <v>639</v>
      </c>
      <c r="P12" s="691">
        <v>826</v>
      </c>
      <c r="Q12" s="690">
        <v>1539</v>
      </c>
      <c r="R12" s="691">
        <f>383+5339</f>
        <v>5722</v>
      </c>
      <c r="S12" s="690"/>
      <c r="T12" s="691">
        <v>311</v>
      </c>
      <c r="U12" s="690">
        <v>817</v>
      </c>
      <c r="V12" s="691">
        <v>14425</v>
      </c>
      <c r="W12" s="690">
        <v>16290</v>
      </c>
      <c r="X12" s="691">
        <v>20917</v>
      </c>
      <c r="Y12" s="690">
        <v>27438</v>
      </c>
      <c r="Z12" s="691">
        <v>2123</v>
      </c>
      <c r="AA12" s="690">
        <v>1955</v>
      </c>
      <c r="AB12" s="691">
        <v>801</v>
      </c>
      <c r="AC12" s="690">
        <v>1506</v>
      </c>
      <c r="AD12" s="691">
        <v>2197</v>
      </c>
      <c r="AE12" s="690">
        <v>1470</v>
      </c>
      <c r="AF12" s="691">
        <v>2541</v>
      </c>
      <c r="AG12" s="690">
        <v>4556</v>
      </c>
      <c r="AH12" s="691">
        <v>1177</v>
      </c>
      <c r="AI12" s="690">
        <v>1600</v>
      </c>
      <c r="AJ12" s="691">
        <v>1512</v>
      </c>
      <c r="AK12" s="690">
        <v>1766</v>
      </c>
      <c r="AL12" s="698"/>
      <c r="AM12" s="690"/>
      <c r="AN12" s="699">
        <v>9276</v>
      </c>
      <c r="AO12" s="693">
        <v>10385</v>
      </c>
      <c r="AP12" s="691">
        <v>1868</v>
      </c>
      <c r="AQ12" s="690">
        <v>1299</v>
      </c>
      <c r="AR12" s="700">
        <v>603</v>
      </c>
      <c r="AS12" s="690"/>
      <c r="AT12" s="691">
        <v>25054</v>
      </c>
      <c r="AU12" s="690">
        <v>33362</v>
      </c>
      <c r="AV12" s="689">
        <f t="shared" si="0"/>
        <v>102669</v>
      </c>
      <c r="AW12" s="768">
        <f t="shared" si="1"/>
        <v>120878</v>
      </c>
      <c r="AX12" s="700">
        <v>2113.13</v>
      </c>
      <c r="AY12" s="690">
        <v>2533</v>
      </c>
      <c r="AZ12" s="694">
        <f t="shared" si="2"/>
        <v>104782.13</v>
      </c>
      <c r="BA12" s="771">
        <f t="shared" si="3"/>
        <v>123411</v>
      </c>
    </row>
    <row r="13" spans="1:53" x14ac:dyDescent="0.3">
      <c r="A13" s="695" t="s">
        <v>234</v>
      </c>
      <c r="B13" s="696">
        <v>1114</v>
      </c>
      <c r="C13" s="690">
        <v>791</v>
      </c>
      <c r="D13" s="691">
        <v>233</v>
      </c>
      <c r="E13" s="690">
        <v>8</v>
      </c>
      <c r="F13" s="691">
        <v>53</v>
      </c>
      <c r="G13" s="690">
        <v>45</v>
      </c>
      <c r="H13" s="691">
        <v>1326</v>
      </c>
      <c r="I13" s="690">
        <v>1324</v>
      </c>
      <c r="J13" s="691">
        <v>404</v>
      </c>
      <c r="K13" s="690">
        <v>215</v>
      </c>
      <c r="L13" s="691">
        <v>362</v>
      </c>
      <c r="M13" s="690">
        <v>254</v>
      </c>
      <c r="N13" s="691">
        <v>58</v>
      </c>
      <c r="O13" s="690">
        <v>90</v>
      </c>
      <c r="P13" s="691">
        <v>204</v>
      </c>
      <c r="Q13" s="690">
        <v>95</v>
      </c>
      <c r="R13" s="691">
        <v>307</v>
      </c>
      <c r="S13" s="690"/>
      <c r="T13" s="691">
        <v>74</v>
      </c>
      <c r="U13" s="690">
        <v>54</v>
      </c>
      <c r="V13" s="691">
        <v>1903</v>
      </c>
      <c r="W13" s="690">
        <v>1495</v>
      </c>
      <c r="X13" s="691">
        <v>2769</v>
      </c>
      <c r="Y13" s="690">
        <v>2124</v>
      </c>
      <c r="Z13" s="691">
        <v>70</v>
      </c>
      <c r="AA13" s="690">
        <v>73</v>
      </c>
      <c r="AB13" s="691">
        <v>365</v>
      </c>
      <c r="AC13" s="690">
        <v>586</v>
      </c>
      <c r="AD13" s="691">
        <v>748</v>
      </c>
      <c r="AE13" s="690">
        <v>704</v>
      </c>
      <c r="AF13" s="691">
        <v>3699</v>
      </c>
      <c r="AG13" s="690">
        <v>3745</v>
      </c>
      <c r="AH13" s="691">
        <v>731</v>
      </c>
      <c r="AI13" s="690">
        <v>1036</v>
      </c>
      <c r="AJ13" s="691">
        <v>100</v>
      </c>
      <c r="AK13" s="690">
        <v>91</v>
      </c>
      <c r="AL13" s="698"/>
      <c r="AM13" s="690"/>
      <c r="AN13" s="699">
        <v>3054</v>
      </c>
      <c r="AO13" s="693">
        <v>4206</v>
      </c>
      <c r="AP13" s="691">
        <v>38</v>
      </c>
      <c r="AQ13" s="690">
        <v>67</v>
      </c>
      <c r="AR13" s="700">
        <v>145</v>
      </c>
      <c r="AS13" s="690"/>
      <c r="AT13" s="691">
        <v>2853</v>
      </c>
      <c r="AU13" s="690">
        <v>2212</v>
      </c>
      <c r="AV13" s="689">
        <f t="shared" si="0"/>
        <v>20610</v>
      </c>
      <c r="AW13" s="768">
        <f t="shared" si="1"/>
        <v>19215</v>
      </c>
      <c r="AX13" s="700">
        <v>4279.74</v>
      </c>
      <c r="AY13" s="690">
        <v>4385</v>
      </c>
      <c r="AZ13" s="694">
        <f t="shared" si="2"/>
        <v>24889.739999999998</v>
      </c>
      <c r="BA13" s="771">
        <f t="shared" si="3"/>
        <v>23600</v>
      </c>
    </row>
    <row r="14" spans="1:53" x14ac:dyDescent="0.3">
      <c r="A14" s="695" t="s">
        <v>235</v>
      </c>
      <c r="B14" s="696"/>
      <c r="C14" s="690"/>
      <c r="D14" s="691"/>
      <c r="E14" s="690"/>
      <c r="F14" s="691"/>
      <c r="G14" s="690"/>
      <c r="H14" s="691"/>
      <c r="I14" s="690"/>
      <c r="J14" s="691"/>
      <c r="K14" s="690"/>
      <c r="L14" s="691"/>
      <c r="M14" s="690"/>
      <c r="N14" s="691"/>
      <c r="O14" s="690"/>
      <c r="P14" s="691"/>
      <c r="Q14" s="690"/>
      <c r="R14" s="691"/>
      <c r="S14" s="690"/>
      <c r="T14" s="691"/>
      <c r="U14" s="690"/>
      <c r="V14" s="691"/>
      <c r="W14" s="690"/>
      <c r="X14" s="691"/>
      <c r="Y14" s="690"/>
      <c r="Z14" s="691"/>
      <c r="AA14" s="690"/>
      <c r="AB14" s="691"/>
      <c r="AC14" s="690"/>
      <c r="AD14" s="691"/>
      <c r="AE14" s="690"/>
      <c r="AF14" s="691"/>
      <c r="AG14" s="690"/>
      <c r="AH14" s="691"/>
      <c r="AI14" s="690"/>
      <c r="AJ14" s="691"/>
      <c r="AK14" s="690"/>
      <c r="AL14" s="698"/>
      <c r="AM14" s="690"/>
      <c r="AN14" s="691"/>
      <c r="AO14" s="693"/>
      <c r="AP14" s="691"/>
      <c r="AQ14" s="690"/>
      <c r="AR14" s="700"/>
      <c r="AS14" s="690"/>
      <c r="AT14" s="691"/>
      <c r="AU14" s="690"/>
      <c r="AV14" s="689">
        <f t="shared" si="0"/>
        <v>0</v>
      </c>
      <c r="AW14" s="768">
        <f t="shared" si="1"/>
        <v>0</v>
      </c>
      <c r="AX14" s="700"/>
      <c r="AY14" s="690"/>
      <c r="AZ14" s="694">
        <f t="shared" si="2"/>
        <v>0</v>
      </c>
      <c r="BA14" s="771">
        <f t="shared" si="3"/>
        <v>0</v>
      </c>
    </row>
    <row r="15" spans="1:53" x14ac:dyDescent="0.3">
      <c r="A15" s="695" t="s">
        <v>236</v>
      </c>
      <c r="B15" s="696">
        <v>80</v>
      </c>
      <c r="C15" s="690">
        <v>89</v>
      </c>
      <c r="D15" s="691">
        <v>29</v>
      </c>
      <c r="E15" s="690">
        <v>29</v>
      </c>
      <c r="F15" s="691">
        <v>39</v>
      </c>
      <c r="G15" s="690">
        <v>48</v>
      </c>
      <c r="H15" s="691">
        <v>80</v>
      </c>
      <c r="I15" s="690">
        <v>80</v>
      </c>
      <c r="J15" s="691">
        <v>51</v>
      </c>
      <c r="K15" s="690">
        <v>56</v>
      </c>
      <c r="L15" s="691">
        <v>12</v>
      </c>
      <c r="M15" s="690">
        <v>12</v>
      </c>
      <c r="N15" s="691">
        <v>26</v>
      </c>
      <c r="O15" s="690">
        <v>26</v>
      </c>
      <c r="P15" s="691"/>
      <c r="Q15" s="690"/>
      <c r="R15" s="691">
        <v>36</v>
      </c>
      <c r="S15" s="690"/>
      <c r="T15" s="691">
        <v>38</v>
      </c>
      <c r="U15" s="690">
        <v>35</v>
      </c>
      <c r="V15" s="691">
        <v>72</v>
      </c>
      <c r="W15" s="690">
        <v>84</v>
      </c>
      <c r="X15" s="691">
        <v>171</v>
      </c>
      <c r="Y15" s="690">
        <v>195</v>
      </c>
      <c r="Z15" s="697">
        <v>31</v>
      </c>
      <c r="AA15" s="690">
        <v>36</v>
      </c>
      <c r="AB15" s="691">
        <v>27</v>
      </c>
      <c r="AC15" s="690">
        <v>26</v>
      </c>
      <c r="AD15" s="701">
        <v>59</v>
      </c>
      <c r="AE15" s="690">
        <v>65</v>
      </c>
      <c r="AF15" s="691">
        <v>73</v>
      </c>
      <c r="AG15" s="690">
        <v>73</v>
      </c>
      <c r="AH15" s="691">
        <v>56</v>
      </c>
      <c r="AI15" s="690">
        <v>59</v>
      </c>
      <c r="AJ15" s="691">
        <v>58</v>
      </c>
      <c r="AK15" s="690">
        <v>58</v>
      </c>
      <c r="AL15" s="698"/>
      <c r="AM15" s="690"/>
      <c r="AN15" s="699">
        <v>58</v>
      </c>
      <c r="AO15" s="693">
        <v>59</v>
      </c>
      <c r="AP15" s="691">
        <v>12</v>
      </c>
      <c r="AQ15" s="690">
        <v>14</v>
      </c>
      <c r="AR15" s="700">
        <v>43</v>
      </c>
      <c r="AS15" s="690"/>
      <c r="AT15" s="691">
        <v>67</v>
      </c>
      <c r="AU15" s="690">
        <v>60</v>
      </c>
      <c r="AV15" s="689">
        <f t="shared" si="0"/>
        <v>1118</v>
      </c>
      <c r="AW15" s="768">
        <f t="shared" si="1"/>
        <v>1104</v>
      </c>
      <c r="AX15" s="691">
        <v>663.62</v>
      </c>
      <c r="AY15" s="690">
        <v>542</v>
      </c>
      <c r="AZ15" s="694">
        <f t="shared" si="2"/>
        <v>1781.62</v>
      </c>
      <c r="BA15" s="771">
        <f t="shared" si="3"/>
        <v>1646</v>
      </c>
    </row>
    <row r="16" spans="1:53" x14ac:dyDescent="0.3">
      <c r="A16" s="695" t="s">
        <v>237</v>
      </c>
      <c r="B16" s="696"/>
      <c r="C16" s="690"/>
      <c r="D16" s="691"/>
      <c r="E16" s="690"/>
      <c r="F16" s="691"/>
      <c r="G16" s="690"/>
      <c r="H16" s="691"/>
      <c r="I16" s="690"/>
      <c r="J16" s="691"/>
      <c r="K16" s="690"/>
      <c r="L16" s="691"/>
      <c r="M16" s="690"/>
      <c r="N16" s="691"/>
      <c r="O16" s="690"/>
      <c r="P16" s="691">
        <v>24</v>
      </c>
      <c r="Q16" s="690">
        <v>25</v>
      </c>
      <c r="R16" s="691"/>
      <c r="S16" s="690"/>
      <c r="T16" s="691"/>
      <c r="U16" s="690"/>
      <c r="V16" s="691"/>
      <c r="W16" s="690"/>
      <c r="X16" s="691"/>
      <c r="Y16" s="690"/>
      <c r="Z16" s="697"/>
      <c r="AA16" s="690"/>
      <c r="AB16" s="691"/>
      <c r="AC16" s="690"/>
      <c r="AD16" s="691"/>
      <c r="AE16" s="690"/>
      <c r="AF16" s="691"/>
      <c r="AG16" s="690"/>
      <c r="AH16" s="691"/>
      <c r="AI16" s="690"/>
      <c r="AJ16" s="691"/>
      <c r="AK16" s="690"/>
      <c r="AL16" s="698"/>
      <c r="AM16" s="690"/>
      <c r="AN16" s="699"/>
      <c r="AO16" s="693"/>
      <c r="AP16" s="691"/>
      <c r="AQ16" s="690"/>
      <c r="AR16" s="700"/>
      <c r="AS16" s="690"/>
      <c r="AT16" s="691"/>
      <c r="AU16" s="690"/>
      <c r="AV16" s="689">
        <f t="shared" si="0"/>
        <v>24</v>
      </c>
      <c r="AW16" s="768">
        <f t="shared" si="1"/>
        <v>25</v>
      </c>
      <c r="AX16" s="691"/>
      <c r="AY16" s="690"/>
      <c r="AZ16" s="694">
        <f t="shared" si="2"/>
        <v>24</v>
      </c>
      <c r="BA16" s="771">
        <f t="shared" si="3"/>
        <v>25</v>
      </c>
    </row>
    <row r="17" spans="1:53" x14ac:dyDescent="0.3">
      <c r="A17" s="695" t="s">
        <v>238</v>
      </c>
      <c r="B17" s="696"/>
      <c r="C17" s="690"/>
      <c r="D17" s="691"/>
      <c r="E17" s="690"/>
      <c r="F17" s="691"/>
      <c r="G17" s="690"/>
      <c r="H17" s="691">
        <v>4</v>
      </c>
      <c r="I17" s="690">
        <v>5</v>
      </c>
      <c r="J17" s="691"/>
      <c r="K17" s="690"/>
      <c r="L17" s="691"/>
      <c r="M17" s="690">
        <v>3</v>
      </c>
      <c r="N17" s="691"/>
      <c r="O17" s="690"/>
      <c r="P17" s="691"/>
      <c r="Q17" s="690"/>
      <c r="R17" s="691">
        <v>1</v>
      </c>
      <c r="S17" s="690"/>
      <c r="T17" s="691"/>
      <c r="U17" s="690"/>
      <c r="V17" s="691">
        <v>1</v>
      </c>
      <c r="W17" s="690"/>
      <c r="X17" s="691"/>
      <c r="Y17" s="690"/>
      <c r="Z17" s="697"/>
      <c r="AA17" s="690"/>
      <c r="AB17" s="691"/>
      <c r="AC17" s="690"/>
      <c r="AD17" s="691"/>
      <c r="AE17" s="690"/>
      <c r="AF17" s="691">
        <v>2</v>
      </c>
      <c r="AG17" s="690">
        <v>3</v>
      </c>
      <c r="AH17" s="691"/>
      <c r="AI17" s="690"/>
      <c r="AJ17" s="691"/>
      <c r="AK17" s="690"/>
      <c r="AL17" s="698"/>
      <c r="AM17" s="690"/>
      <c r="AN17" s="699"/>
      <c r="AO17" s="693"/>
      <c r="AP17" s="691"/>
      <c r="AQ17" s="690"/>
      <c r="AR17" s="700"/>
      <c r="AS17" s="690"/>
      <c r="AT17" s="691"/>
      <c r="AU17" s="690"/>
      <c r="AV17" s="689">
        <f t="shared" si="0"/>
        <v>8</v>
      </c>
      <c r="AW17" s="768">
        <f t="shared" si="1"/>
        <v>11</v>
      </c>
      <c r="AX17" s="691">
        <v>7.0000000000000007E-2</v>
      </c>
      <c r="AY17" s="690"/>
      <c r="AZ17" s="694">
        <f t="shared" si="2"/>
        <v>8.07</v>
      </c>
      <c r="BA17" s="771">
        <f t="shared" si="3"/>
        <v>11</v>
      </c>
    </row>
    <row r="18" spans="1:53" x14ac:dyDescent="0.3">
      <c r="A18" s="695" t="s">
        <v>239</v>
      </c>
      <c r="B18" s="696"/>
      <c r="C18" s="690"/>
      <c r="D18" s="691"/>
      <c r="E18" s="690"/>
      <c r="F18" s="691"/>
      <c r="G18" s="690"/>
      <c r="H18" s="691"/>
      <c r="I18" s="690"/>
      <c r="J18" s="691"/>
      <c r="K18" s="690"/>
      <c r="L18" s="691"/>
      <c r="M18" s="690"/>
      <c r="N18" s="691"/>
      <c r="O18" s="690"/>
      <c r="P18" s="691"/>
      <c r="Q18" s="690"/>
      <c r="R18" s="691"/>
      <c r="S18" s="690"/>
      <c r="T18" s="691"/>
      <c r="U18" s="690"/>
      <c r="V18" s="691"/>
      <c r="W18" s="690"/>
      <c r="X18" s="691"/>
      <c r="Y18" s="690"/>
      <c r="Z18" s="697"/>
      <c r="AA18" s="690"/>
      <c r="AB18" s="691"/>
      <c r="AC18" s="690"/>
      <c r="AD18" s="691"/>
      <c r="AE18" s="690"/>
      <c r="AF18" s="691"/>
      <c r="AG18" s="690"/>
      <c r="AH18" s="691"/>
      <c r="AI18" s="690"/>
      <c r="AJ18" s="691"/>
      <c r="AK18" s="690"/>
      <c r="AL18" s="698"/>
      <c r="AM18" s="690"/>
      <c r="AN18" s="699"/>
      <c r="AO18" s="693"/>
      <c r="AP18" s="691"/>
      <c r="AQ18" s="690"/>
      <c r="AR18" s="700"/>
      <c r="AS18" s="690"/>
      <c r="AT18" s="691"/>
      <c r="AU18" s="690"/>
      <c r="AV18" s="689">
        <f t="shared" si="0"/>
        <v>0</v>
      </c>
      <c r="AW18" s="768">
        <f t="shared" si="1"/>
        <v>0</v>
      </c>
      <c r="AX18" s="691"/>
      <c r="AY18" s="690"/>
      <c r="AZ18" s="694">
        <f t="shared" si="2"/>
        <v>0</v>
      </c>
      <c r="BA18" s="771">
        <f t="shared" si="3"/>
        <v>0</v>
      </c>
    </row>
    <row r="19" spans="1:53" x14ac:dyDescent="0.3">
      <c r="A19" s="695" t="s">
        <v>240</v>
      </c>
      <c r="B19" s="696">
        <v>9</v>
      </c>
      <c r="C19" s="690">
        <v>9</v>
      </c>
      <c r="D19" s="691"/>
      <c r="E19" s="690"/>
      <c r="F19" s="691"/>
      <c r="G19" s="690"/>
      <c r="H19" s="691"/>
      <c r="I19" s="690"/>
      <c r="J19" s="691">
        <v>3</v>
      </c>
      <c r="K19" s="690"/>
      <c r="L19" s="691"/>
      <c r="M19" s="690"/>
      <c r="N19" s="691"/>
      <c r="O19" s="690"/>
      <c r="P19" s="691"/>
      <c r="Q19" s="690"/>
      <c r="R19" s="691">
        <v>29</v>
      </c>
      <c r="S19" s="690"/>
      <c r="T19" s="691"/>
      <c r="U19" s="690"/>
      <c r="V19" s="691"/>
      <c r="W19" s="690"/>
      <c r="X19" s="691"/>
      <c r="Y19" s="690"/>
      <c r="Z19" s="697"/>
      <c r="AA19" s="690"/>
      <c r="AB19" s="691"/>
      <c r="AC19" s="690"/>
      <c r="AD19" s="691"/>
      <c r="AE19" s="690"/>
      <c r="AF19" s="691">
        <v>45</v>
      </c>
      <c r="AG19" s="690">
        <v>49</v>
      </c>
      <c r="AH19" s="691"/>
      <c r="AI19" s="690"/>
      <c r="AJ19" s="691"/>
      <c r="AK19" s="690"/>
      <c r="AL19" s="698"/>
      <c r="AM19" s="690"/>
      <c r="AN19" s="699"/>
      <c r="AO19" s="693"/>
      <c r="AP19" s="691"/>
      <c r="AQ19" s="690"/>
      <c r="AR19" s="700"/>
      <c r="AS19" s="690"/>
      <c r="AT19" s="691"/>
      <c r="AU19" s="690"/>
      <c r="AV19" s="689">
        <f t="shared" si="0"/>
        <v>86</v>
      </c>
      <c r="AW19" s="768">
        <f t="shared" si="1"/>
        <v>58</v>
      </c>
      <c r="AX19" s="691"/>
      <c r="AY19" s="690"/>
      <c r="AZ19" s="694">
        <f t="shared" si="2"/>
        <v>86</v>
      </c>
      <c r="BA19" s="771">
        <f t="shared" si="3"/>
        <v>58</v>
      </c>
    </row>
    <row r="20" spans="1:53" x14ac:dyDescent="0.3">
      <c r="A20" s="695" t="s">
        <v>241</v>
      </c>
      <c r="B20" s="696"/>
      <c r="C20" s="690"/>
      <c r="D20" s="691">
        <v>1</v>
      </c>
      <c r="E20" s="690"/>
      <c r="F20" s="691">
        <v>4</v>
      </c>
      <c r="G20" s="690">
        <v>3</v>
      </c>
      <c r="H20" s="691">
        <v>18</v>
      </c>
      <c r="I20" s="690">
        <v>11</v>
      </c>
      <c r="J20" s="691"/>
      <c r="K20" s="690"/>
      <c r="L20" s="691">
        <v>13</v>
      </c>
      <c r="M20" s="690">
        <v>8</v>
      </c>
      <c r="N20" s="691">
        <v>13</v>
      </c>
      <c r="O20" s="690">
        <v>14</v>
      </c>
      <c r="P20" s="691">
        <v>6</v>
      </c>
      <c r="Q20" s="690">
        <v>2</v>
      </c>
      <c r="R20" s="691"/>
      <c r="S20" s="690"/>
      <c r="T20" s="691">
        <v>7</v>
      </c>
      <c r="U20" s="690">
        <v>1</v>
      </c>
      <c r="V20" s="691">
        <v>10</v>
      </c>
      <c r="W20" s="690">
        <v>26</v>
      </c>
      <c r="X20" s="691"/>
      <c r="Y20" s="690"/>
      <c r="Z20" s="697">
        <v>5</v>
      </c>
      <c r="AA20" s="690">
        <v>6</v>
      </c>
      <c r="AB20" s="691">
        <v>7</v>
      </c>
      <c r="AC20" s="690">
        <v>3</v>
      </c>
      <c r="AD20" s="701"/>
      <c r="AE20" s="690"/>
      <c r="AF20" s="691"/>
      <c r="AG20" s="690"/>
      <c r="AH20" s="702">
        <v>6</v>
      </c>
      <c r="AI20" s="690">
        <v>3</v>
      </c>
      <c r="AJ20" s="691">
        <v>16</v>
      </c>
      <c r="AK20" s="690">
        <v>18</v>
      </c>
      <c r="AL20" s="698"/>
      <c r="AM20" s="690"/>
      <c r="AN20" s="699">
        <v>20</v>
      </c>
      <c r="AO20" s="693">
        <v>22</v>
      </c>
      <c r="AP20" s="691"/>
      <c r="AQ20" s="690"/>
      <c r="AR20" s="700"/>
      <c r="AS20" s="690"/>
      <c r="AT20" s="691">
        <v>5</v>
      </c>
      <c r="AU20" s="690">
        <v>2</v>
      </c>
      <c r="AV20" s="689">
        <f t="shared" si="0"/>
        <v>131</v>
      </c>
      <c r="AW20" s="768">
        <f t="shared" si="1"/>
        <v>119</v>
      </c>
      <c r="AX20" s="691">
        <v>6.29</v>
      </c>
      <c r="AY20" s="690"/>
      <c r="AZ20" s="694">
        <f t="shared" si="2"/>
        <v>137.29</v>
      </c>
      <c r="BA20" s="771">
        <f t="shared" si="3"/>
        <v>119</v>
      </c>
    </row>
    <row r="21" spans="1:53" ht="17.25" x14ac:dyDescent="0.35">
      <c r="A21" s="695" t="s">
        <v>242</v>
      </c>
      <c r="B21" s="696"/>
      <c r="C21" s="690"/>
      <c r="D21" s="691">
        <v>1</v>
      </c>
      <c r="E21" s="690">
        <v>1</v>
      </c>
      <c r="F21" s="691"/>
      <c r="G21" s="690"/>
      <c r="H21" s="691">
        <v>2</v>
      </c>
      <c r="I21" s="690">
        <v>2</v>
      </c>
      <c r="J21" s="691"/>
      <c r="K21" s="690"/>
      <c r="L21" s="691"/>
      <c r="M21" s="690"/>
      <c r="N21" s="691">
        <v>1</v>
      </c>
      <c r="O21" s="690">
        <v>2</v>
      </c>
      <c r="P21" s="691">
        <v>1</v>
      </c>
      <c r="Q21" s="690">
        <v>5</v>
      </c>
      <c r="R21" s="691">
        <v>4</v>
      </c>
      <c r="S21" s="690"/>
      <c r="T21" s="691"/>
      <c r="U21" s="690"/>
      <c r="V21" s="691"/>
      <c r="W21" s="690"/>
      <c r="X21" s="691"/>
      <c r="Y21" s="690"/>
      <c r="Z21" s="697"/>
      <c r="AA21" s="690"/>
      <c r="AB21" s="691"/>
      <c r="AC21" s="690"/>
      <c r="AD21" s="691">
        <v>11</v>
      </c>
      <c r="AE21" s="690">
        <v>10</v>
      </c>
      <c r="AF21" s="691">
        <v>12</v>
      </c>
      <c r="AG21" s="690">
        <v>15</v>
      </c>
      <c r="AH21" s="703"/>
      <c r="AI21" s="690"/>
      <c r="AJ21" s="691"/>
      <c r="AK21" s="690"/>
      <c r="AL21" s="698"/>
      <c r="AM21" s="690"/>
      <c r="AN21" s="699"/>
      <c r="AO21" s="693">
        <v>1</v>
      </c>
      <c r="AP21" s="691"/>
      <c r="AQ21" s="690"/>
      <c r="AR21" s="700"/>
      <c r="AS21" s="690"/>
      <c r="AT21" s="691"/>
      <c r="AU21" s="690"/>
      <c r="AV21" s="689">
        <f t="shared" si="0"/>
        <v>32</v>
      </c>
      <c r="AW21" s="768">
        <f t="shared" si="1"/>
        <v>36</v>
      </c>
      <c r="AX21" s="700"/>
      <c r="AY21" s="690"/>
      <c r="AZ21" s="694">
        <f t="shared" si="2"/>
        <v>32</v>
      </c>
      <c r="BA21" s="771">
        <f t="shared" si="3"/>
        <v>36</v>
      </c>
    </row>
    <row r="22" spans="1:53" x14ac:dyDescent="0.3">
      <c r="A22" s="695" t="s">
        <v>243</v>
      </c>
      <c r="B22" s="696">
        <v>24805</v>
      </c>
      <c r="C22" s="690">
        <v>37334</v>
      </c>
      <c r="D22" s="691">
        <v>543</v>
      </c>
      <c r="E22" s="690">
        <v>608</v>
      </c>
      <c r="F22" s="691">
        <v>960</v>
      </c>
      <c r="G22" s="690">
        <v>1996</v>
      </c>
      <c r="H22" s="691">
        <v>21402</v>
      </c>
      <c r="I22" s="690">
        <v>32910</v>
      </c>
      <c r="J22" s="691">
        <v>13460</v>
      </c>
      <c r="K22" s="690">
        <v>13382</v>
      </c>
      <c r="L22" s="691">
        <v>1785</v>
      </c>
      <c r="M22" s="690">
        <v>4354</v>
      </c>
      <c r="N22" s="691">
        <v>134</v>
      </c>
      <c r="O22" s="690">
        <v>406</v>
      </c>
      <c r="P22" s="691">
        <v>3927</v>
      </c>
      <c r="Q22" s="690">
        <v>1728</v>
      </c>
      <c r="R22" s="691">
        <v>1444</v>
      </c>
      <c r="S22" s="690"/>
      <c r="T22" s="691">
        <v>134</v>
      </c>
      <c r="U22" s="690">
        <v>88</v>
      </c>
      <c r="V22" s="691">
        <v>126093</v>
      </c>
      <c r="W22" s="690">
        <v>163389</v>
      </c>
      <c r="X22" s="691">
        <v>71727</v>
      </c>
      <c r="Y22" s="690">
        <v>100256</v>
      </c>
      <c r="Z22" s="697">
        <v>1639</v>
      </c>
      <c r="AA22" s="690">
        <v>1721</v>
      </c>
      <c r="AB22" s="691">
        <v>491</v>
      </c>
      <c r="AC22" s="690">
        <v>737</v>
      </c>
      <c r="AD22" s="691">
        <v>9542</v>
      </c>
      <c r="AE22" s="690">
        <v>14890</v>
      </c>
      <c r="AF22" s="691">
        <v>39510</v>
      </c>
      <c r="AG22" s="690">
        <v>28096</v>
      </c>
      <c r="AH22" s="691">
        <v>6025</v>
      </c>
      <c r="AI22" s="690">
        <v>8595</v>
      </c>
      <c r="AJ22" s="691">
        <v>4874</v>
      </c>
      <c r="AK22" s="690">
        <v>5617</v>
      </c>
      <c r="AL22" s="698"/>
      <c r="AM22" s="690"/>
      <c r="AN22" s="699">
        <v>4968</v>
      </c>
      <c r="AO22" s="693">
        <v>4768</v>
      </c>
      <c r="AP22" s="691">
        <v>4</v>
      </c>
      <c r="AQ22" s="690">
        <v>4</v>
      </c>
      <c r="AR22" s="700">
        <v>1399</v>
      </c>
      <c r="AS22" s="690"/>
      <c r="AT22" s="691">
        <v>48441</v>
      </c>
      <c r="AU22" s="690">
        <v>66803</v>
      </c>
      <c r="AV22" s="689">
        <f t="shared" si="0"/>
        <v>383307</v>
      </c>
      <c r="AW22" s="768">
        <f t="shared" si="1"/>
        <v>487682</v>
      </c>
      <c r="AX22" s="700">
        <v>30528.12</v>
      </c>
      <c r="AY22" s="690">
        <v>43243</v>
      </c>
      <c r="AZ22" s="694">
        <f t="shared" si="2"/>
        <v>413835.12</v>
      </c>
      <c r="BA22" s="771">
        <f t="shared" si="3"/>
        <v>530925</v>
      </c>
    </row>
    <row r="23" spans="1:53" x14ac:dyDescent="0.3">
      <c r="A23" s="695" t="s">
        <v>244</v>
      </c>
      <c r="B23" s="696">
        <v>914</v>
      </c>
      <c r="C23" s="690">
        <v>620</v>
      </c>
      <c r="D23" s="691">
        <v>162</v>
      </c>
      <c r="E23" s="690">
        <v>137</v>
      </c>
      <c r="F23" s="691">
        <v>114</v>
      </c>
      <c r="G23" s="690">
        <v>111</v>
      </c>
      <c r="H23" s="691">
        <v>603</v>
      </c>
      <c r="I23" s="690">
        <v>781</v>
      </c>
      <c r="J23" s="691">
        <v>243</v>
      </c>
      <c r="K23" s="690">
        <v>343</v>
      </c>
      <c r="L23" s="691">
        <v>560</v>
      </c>
      <c r="M23" s="690">
        <v>599</v>
      </c>
      <c r="N23" s="691">
        <v>136</v>
      </c>
      <c r="O23" s="690">
        <v>133</v>
      </c>
      <c r="P23" s="691">
        <v>200</v>
      </c>
      <c r="Q23" s="690">
        <v>191</v>
      </c>
      <c r="R23" s="691">
        <v>470</v>
      </c>
      <c r="S23" s="690"/>
      <c r="T23" s="691">
        <v>128</v>
      </c>
      <c r="U23" s="690">
        <v>120</v>
      </c>
      <c r="V23" s="691">
        <v>1660</v>
      </c>
      <c r="W23" s="690">
        <v>1176</v>
      </c>
      <c r="X23" s="691">
        <v>2301</v>
      </c>
      <c r="Y23" s="690">
        <v>2096</v>
      </c>
      <c r="Z23" s="697">
        <v>168</v>
      </c>
      <c r="AA23" s="690">
        <v>157</v>
      </c>
      <c r="AB23" s="691">
        <v>208</v>
      </c>
      <c r="AC23" s="690">
        <v>222</v>
      </c>
      <c r="AD23" s="691">
        <v>664</v>
      </c>
      <c r="AE23" s="690">
        <v>827</v>
      </c>
      <c r="AF23" s="701">
        <v>1506</v>
      </c>
      <c r="AG23" s="690">
        <v>1592</v>
      </c>
      <c r="AH23" s="691">
        <v>519</v>
      </c>
      <c r="AI23" s="690">
        <v>571</v>
      </c>
      <c r="AJ23" s="691">
        <v>488</v>
      </c>
      <c r="AK23" s="690">
        <v>634</v>
      </c>
      <c r="AL23" s="698"/>
      <c r="AM23" s="690"/>
      <c r="AN23" s="699">
        <v>740</v>
      </c>
      <c r="AO23" s="693">
        <v>752</v>
      </c>
      <c r="AP23" s="691">
        <v>67</v>
      </c>
      <c r="AQ23" s="690">
        <v>247</v>
      </c>
      <c r="AR23" s="700">
        <v>21</v>
      </c>
      <c r="AS23" s="690"/>
      <c r="AT23" s="691">
        <v>1319</v>
      </c>
      <c r="AU23" s="690">
        <v>1672</v>
      </c>
      <c r="AV23" s="689">
        <f t="shared" si="0"/>
        <v>13191</v>
      </c>
      <c r="AW23" s="768">
        <f t="shared" si="1"/>
        <v>12981</v>
      </c>
      <c r="AX23" s="700">
        <v>4881.1400000000003</v>
      </c>
      <c r="AY23" s="690">
        <v>4746</v>
      </c>
      <c r="AZ23" s="694">
        <f t="shared" si="2"/>
        <v>18072.14</v>
      </c>
      <c r="BA23" s="771">
        <f t="shared" si="3"/>
        <v>17727</v>
      </c>
    </row>
    <row r="24" spans="1:53" x14ac:dyDescent="0.3">
      <c r="A24" s="695" t="s">
        <v>245</v>
      </c>
      <c r="B24" s="696"/>
      <c r="C24" s="690"/>
      <c r="D24" s="691"/>
      <c r="E24" s="690"/>
      <c r="F24" s="691">
        <v>158</v>
      </c>
      <c r="G24" s="690">
        <v>225</v>
      </c>
      <c r="H24" s="691"/>
      <c r="I24" s="690"/>
      <c r="J24" s="691">
        <v>2027</v>
      </c>
      <c r="K24" s="690">
        <v>2032</v>
      </c>
      <c r="L24" s="691"/>
      <c r="M24" s="690"/>
      <c r="N24" s="691">
        <v>42</v>
      </c>
      <c r="O24" s="690">
        <v>189</v>
      </c>
      <c r="P24" s="691"/>
      <c r="Q24" s="690"/>
      <c r="R24" s="691">
        <v>288</v>
      </c>
      <c r="S24" s="690"/>
      <c r="T24" s="691"/>
      <c r="U24" s="690"/>
      <c r="V24" s="691"/>
      <c r="W24" s="690"/>
      <c r="X24" s="691"/>
      <c r="Y24" s="690"/>
      <c r="Z24" s="697"/>
      <c r="AA24" s="690"/>
      <c r="AB24" s="691"/>
      <c r="AC24" s="690"/>
      <c r="AD24" s="691"/>
      <c r="AE24" s="690"/>
      <c r="AF24" s="691"/>
      <c r="AG24" s="690"/>
      <c r="AH24" s="691"/>
      <c r="AI24" s="690"/>
      <c r="AJ24" s="691"/>
      <c r="AK24" s="690"/>
      <c r="AL24" s="698"/>
      <c r="AM24" s="690"/>
      <c r="AN24" s="699"/>
      <c r="AO24" s="693"/>
      <c r="AP24" s="691"/>
      <c r="AQ24" s="690"/>
      <c r="AR24" s="700"/>
      <c r="AS24" s="690"/>
      <c r="AT24" s="691"/>
      <c r="AU24" s="690"/>
      <c r="AV24" s="689">
        <f t="shared" si="0"/>
        <v>2515</v>
      </c>
      <c r="AW24" s="768">
        <f t="shared" si="1"/>
        <v>2446</v>
      </c>
      <c r="AX24" s="700"/>
      <c r="AY24" s="690"/>
      <c r="AZ24" s="694">
        <f t="shared" si="2"/>
        <v>2515</v>
      </c>
      <c r="BA24" s="771">
        <f t="shared" si="3"/>
        <v>2446</v>
      </c>
    </row>
    <row r="25" spans="1:53" x14ac:dyDescent="0.3">
      <c r="A25" s="695" t="s">
        <v>246</v>
      </c>
      <c r="B25" s="696">
        <v>5854</v>
      </c>
      <c r="C25" s="690">
        <v>6821</v>
      </c>
      <c r="D25" s="691">
        <v>2573</v>
      </c>
      <c r="E25" s="690">
        <v>3135</v>
      </c>
      <c r="F25" s="691">
        <v>1764</v>
      </c>
      <c r="G25" s="690">
        <v>1499</v>
      </c>
      <c r="H25" s="691">
        <v>6515</v>
      </c>
      <c r="I25" s="690">
        <v>7340</v>
      </c>
      <c r="J25" s="691">
        <v>5015</v>
      </c>
      <c r="K25" s="690">
        <v>5273</v>
      </c>
      <c r="L25" s="691">
        <v>3797</v>
      </c>
      <c r="M25" s="690">
        <v>4896</v>
      </c>
      <c r="N25" s="691">
        <v>965</v>
      </c>
      <c r="O25" s="690">
        <v>1136</v>
      </c>
      <c r="P25" s="691">
        <v>1709</v>
      </c>
      <c r="Q25" s="690">
        <v>2498</v>
      </c>
      <c r="R25" s="691">
        <v>2382</v>
      </c>
      <c r="S25" s="690"/>
      <c r="T25" s="691">
        <v>1089</v>
      </c>
      <c r="U25" s="690">
        <v>1577</v>
      </c>
      <c r="V25" s="691">
        <v>11837</v>
      </c>
      <c r="W25" s="690">
        <v>14508</v>
      </c>
      <c r="X25" s="691"/>
      <c r="Y25" s="690">
        <v>11725</v>
      </c>
      <c r="Z25" s="697">
        <v>1541</v>
      </c>
      <c r="AA25" s="690">
        <v>2401</v>
      </c>
      <c r="AB25" s="691">
        <v>4286</v>
      </c>
      <c r="AC25" s="690">
        <v>3921</v>
      </c>
      <c r="AD25" s="701">
        <v>3204</v>
      </c>
      <c r="AE25" s="690">
        <v>3746</v>
      </c>
      <c r="AF25" s="691">
        <v>6053</v>
      </c>
      <c r="AG25" s="690">
        <v>7494</v>
      </c>
      <c r="AH25" s="691">
        <v>5361</v>
      </c>
      <c r="AI25" s="690">
        <v>6633</v>
      </c>
      <c r="AJ25" s="691">
        <v>2309</v>
      </c>
      <c r="AK25" s="690">
        <v>2581</v>
      </c>
      <c r="AL25" s="698"/>
      <c r="AM25" s="690"/>
      <c r="AN25" s="699">
        <v>8832</v>
      </c>
      <c r="AO25" s="693">
        <v>8972</v>
      </c>
      <c r="AP25" s="691">
        <v>1106</v>
      </c>
      <c r="AQ25" s="690">
        <v>1139</v>
      </c>
      <c r="AR25" s="700">
        <v>1466</v>
      </c>
      <c r="AS25" s="690"/>
      <c r="AT25" s="691">
        <v>6542</v>
      </c>
      <c r="AU25" s="690">
        <v>10938</v>
      </c>
      <c r="AV25" s="689">
        <f t="shared" si="0"/>
        <v>84200</v>
      </c>
      <c r="AW25" s="768">
        <f t="shared" si="1"/>
        <v>108233</v>
      </c>
      <c r="AX25" s="691"/>
      <c r="AY25" s="690"/>
      <c r="AZ25" s="694">
        <f t="shared" si="2"/>
        <v>84200</v>
      </c>
      <c r="BA25" s="771">
        <f t="shared" si="3"/>
        <v>108233</v>
      </c>
    </row>
    <row r="26" spans="1:53" x14ac:dyDescent="0.3">
      <c r="A26" s="695" t="s">
        <v>247</v>
      </c>
      <c r="B26" s="696"/>
      <c r="C26" s="690">
        <v>263</v>
      </c>
      <c r="D26" s="691">
        <v>12</v>
      </c>
      <c r="E26" s="690">
        <v>1</v>
      </c>
      <c r="F26" s="691">
        <v>90</v>
      </c>
      <c r="G26" s="690">
        <v>76</v>
      </c>
      <c r="H26" s="691">
        <v>2234</v>
      </c>
      <c r="I26" s="690">
        <v>2387</v>
      </c>
      <c r="J26" s="691"/>
      <c r="K26" s="690"/>
      <c r="L26" s="691"/>
      <c r="M26" s="690"/>
      <c r="N26" s="691">
        <v>76</v>
      </c>
      <c r="O26" s="690">
        <v>260</v>
      </c>
      <c r="P26" s="691">
        <v>211</v>
      </c>
      <c r="Q26" s="690">
        <v>461</v>
      </c>
      <c r="R26" s="691">
        <v>463</v>
      </c>
      <c r="S26" s="690"/>
      <c r="T26" s="691">
        <v>13</v>
      </c>
      <c r="U26" s="690">
        <v>12</v>
      </c>
      <c r="V26" s="691">
        <v>829</v>
      </c>
      <c r="W26" s="690">
        <v>1182</v>
      </c>
      <c r="X26" s="691"/>
      <c r="Y26" s="690">
        <v>1058</v>
      </c>
      <c r="Z26" s="697"/>
      <c r="AA26" s="690"/>
      <c r="AB26" s="691"/>
      <c r="AC26" s="690"/>
      <c r="AD26" s="691">
        <v>645</v>
      </c>
      <c r="AE26" s="690">
        <v>1776</v>
      </c>
      <c r="AF26" s="691">
        <v>515</v>
      </c>
      <c r="AG26" s="690">
        <v>1443</v>
      </c>
      <c r="AH26" s="691">
        <v>415</v>
      </c>
      <c r="AI26" s="690">
        <v>89</v>
      </c>
      <c r="AJ26" s="691"/>
      <c r="AK26" s="690"/>
      <c r="AL26" s="698"/>
      <c r="AM26" s="690"/>
      <c r="AN26" s="699">
        <v>1741</v>
      </c>
      <c r="AO26" s="693">
        <v>2155</v>
      </c>
      <c r="AP26" s="691">
        <v>74</v>
      </c>
      <c r="AQ26" s="690">
        <v>136</v>
      </c>
      <c r="AR26" s="700">
        <v>187</v>
      </c>
      <c r="AS26" s="690"/>
      <c r="AT26" s="691"/>
      <c r="AU26" s="690"/>
      <c r="AV26" s="689">
        <f t="shared" si="0"/>
        <v>7505</v>
      </c>
      <c r="AW26" s="768">
        <f t="shared" si="1"/>
        <v>11299</v>
      </c>
      <c r="AX26" s="700">
        <v>177056.08</v>
      </c>
      <c r="AY26" s="690">
        <v>156306</v>
      </c>
      <c r="AZ26" s="694">
        <f t="shared" si="2"/>
        <v>184561.08</v>
      </c>
      <c r="BA26" s="771">
        <f t="shared" si="3"/>
        <v>167605</v>
      </c>
    </row>
    <row r="27" spans="1:53" x14ac:dyDescent="0.3">
      <c r="A27" s="695" t="s">
        <v>248</v>
      </c>
      <c r="B27" s="696">
        <v>1972</v>
      </c>
      <c r="C27" s="690">
        <v>3233</v>
      </c>
      <c r="D27" s="691">
        <v>259</v>
      </c>
      <c r="E27" s="690">
        <v>15</v>
      </c>
      <c r="F27" s="691">
        <v>289</v>
      </c>
      <c r="G27" s="690">
        <v>258</v>
      </c>
      <c r="H27" s="691">
        <v>4459</v>
      </c>
      <c r="I27" s="690">
        <v>6665</v>
      </c>
      <c r="J27" s="691">
        <v>270</v>
      </c>
      <c r="K27" s="690">
        <v>206</v>
      </c>
      <c r="L27" s="691">
        <v>568</v>
      </c>
      <c r="M27" s="690">
        <v>1308</v>
      </c>
      <c r="N27" s="691">
        <v>459</v>
      </c>
      <c r="O27" s="690">
        <v>637</v>
      </c>
      <c r="P27" s="691">
        <v>210</v>
      </c>
      <c r="Q27" s="690">
        <v>140</v>
      </c>
      <c r="R27" s="691">
        <v>673</v>
      </c>
      <c r="S27" s="690"/>
      <c r="T27" s="691">
        <v>279</v>
      </c>
      <c r="U27" s="690">
        <v>368</v>
      </c>
      <c r="V27" s="691">
        <v>7843</v>
      </c>
      <c r="W27" s="690">
        <v>10484</v>
      </c>
      <c r="X27" s="691"/>
      <c r="Y27" s="690">
        <v>10588</v>
      </c>
      <c r="Z27" s="697">
        <v>161</v>
      </c>
      <c r="AA27" s="690">
        <v>224</v>
      </c>
      <c r="AB27" s="691">
        <v>1982</v>
      </c>
      <c r="AC27" s="690">
        <v>1213</v>
      </c>
      <c r="AD27" s="691">
        <v>3116</v>
      </c>
      <c r="AE27" s="690">
        <v>4385</v>
      </c>
      <c r="AF27" s="691">
        <v>4077</v>
      </c>
      <c r="AG27" s="690">
        <v>4017</v>
      </c>
      <c r="AH27" s="691">
        <v>3134</v>
      </c>
      <c r="AI27" s="690">
        <v>2909</v>
      </c>
      <c r="AJ27" s="691">
        <v>231</v>
      </c>
      <c r="AK27" s="690">
        <v>257</v>
      </c>
      <c r="AL27" s="698"/>
      <c r="AM27" s="690"/>
      <c r="AN27" s="699">
        <v>7965</v>
      </c>
      <c r="AO27" s="693">
        <v>8683</v>
      </c>
      <c r="AP27" s="691">
        <v>455</v>
      </c>
      <c r="AQ27" s="690">
        <v>387</v>
      </c>
      <c r="AR27" s="700">
        <v>1581</v>
      </c>
      <c r="AS27" s="690"/>
      <c r="AT27" s="691">
        <v>4408</v>
      </c>
      <c r="AU27" s="690">
        <v>6507</v>
      </c>
      <c r="AV27" s="689">
        <f t="shared" si="0"/>
        <v>44391</v>
      </c>
      <c r="AW27" s="768">
        <f t="shared" si="1"/>
        <v>62484</v>
      </c>
      <c r="AX27" s="700">
        <v>19295.939999999999</v>
      </c>
      <c r="AY27" s="690">
        <v>21976</v>
      </c>
      <c r="AZ27" s="694">
        <f t="shared" si="2"/>
        <v>63686.94</v>
      </c>
      <c r="BA27" s="771">
        <f t="shared" si="3"/>
        <v>84460</v>
      </c>
    </row>
    <row r="28" spans="1:53" x14ac:dyDescent="0.3">
      <c r="A28" s="695" t="s">
        <v>249</v>
      </c>
      <c r="B28" s="696">
        <v>2546</v>
      </c>
      <c r="C28" s="690">
        <v>2910</v>
      </c>
      <c r="D28" s="691">
        <v>2626</v>
      </c>
      <c r="E28" s="690">
        <v>2092</v>
      </c>
      <c r="F28" s="691">
        <v>614</v>
      </c>
      <c r="G28" s="690">
        <v>880</v>
      </c>
      <c r="H28" s="691">
        <v>3077</v>
      </c>
      <c r="I28" s="690">
        <v>3243</v>
      </c>
      <c r="J28" s="691">
        <v>605</v>
      </c>
      <c r="K28" s="690">
        <v>988</v>
      </c>
      <c r="L28" s="691">
        <v>1227</v>
      </c>
      <c r="M28" s="690">
        <v>1381</v>
      </c>
      <c r="N28" s="691">
        <v>1016</v>
      </c>
      <c r="O28" s="690">
        <v>500</v>
      </c>
      <c r="P28" s="691">
        <v>2510</v>
      </c>
      <c r="Q28" s="690">
        <v>2932</v>
      </c>
      <c r="R28" s="691">
        <v>1136</v>
      </c>
      <c r="S28" s="690"/>
      <c r="T28" s="691">
        <v>1720</v>
      </c>
      <c r="U28" s="690">
        <v>1509</v>
      </c>
      <c r="V28" s="691">
        <v>3968</v>
      </c>
      <c r="W28" s="690">
        <v>4953</v>
      </c>
      <c r="X28" s="691">
        <v>4902</v>
      </c>
      <c r="Y28" s="690">
        <v>5987</v>
      </c>
      <c r="Z28" s="697">
        <v>594</v>
      </c>
      <c r="AA28" s="690">
        <v>791</v>
      </c>
      <c r="AB28" s="691">
        <v>1233</v>
      </c>
      <c r="AC28" s="690">
        <v>1120</v>
      </c>
      <c r="AD28" s="691">
        <v>3368</v>
      </c>
      <c r="AE28" s="690">
        <v>3656</v>
      </c>
      <c r="AF28" s="691">
        <v>7328</v>
      </c>
      <c r="AG28" s="690">
        <v>6667</v>
      </c>
      <c r="AH28" s="691">
        <v>3108</v>
      </c>
      <c r="AI28" s="690">
        <v>3381</v>
      </c>
      <c r="AJ28" s="691">
        <v>2610</v>
      </c>
      <c r="AK28" s="690">
        <v>2789</v>
      </c>
      <c r="AL28" s="698"/>
      <c r="AM28" s="690"/>
      <c r="AN28" s="699">
        <v>5738</v>
      </c>
      <c r="AO28" s="693">
        <v>5062</v>
      </c>
      <c r="AP28" s="691">
        <v>1538</v>
      </c>
      <c r="AQ28" s="690">
        <v>1188</v>
      </c>
      <c r="AR28" s="700">
        <v>851</v>
      </c>
      <c r="AS28" s="690"/>
      <c r="AT28" s="691">
        <v>4122</v>
      </c>
      <c r="AU28" s="690">
        <v>3447</v>
      </c>
      <c r="AV28" s="689">
        <f t="shared" si="0"/>
        <v>56437</v>
      </c>
      <c r="AW28" s="768">
        <f t="shared" si="1"/>
        <v>55476</v>
      </c>
      <c r="AX28" s="700">
        <v>34039.61</v>
      </c>
      <c r="AY28" s="690">
        <v>34219</v>
      </c>
      <c r="AZ28" s="694">
        <f t="shared" si="2"/>
        <v>90476.61</v>
      </c>
      <c r="BA28" s="771">
        <f t="shared" si="3"/>
        <v>89695</v>
      </c>
    </row>
    <row r="29" spans="1:53" x14ac:dyDescent="0.3">
      <c r="A29" s="695" t="s">
        <v>250</v>
      </c>
      <c r="B29" s="696">
        <v>87</v>
      </c>
      <c r="C29" s="690">
        <v>4</v>
      </c>
      <c r="D29" s="691"/>
      <c r="E29" s="690"/>
      <c r="F29" s="691"/>
      <c r="G29" s="690"/>
      <c r="H29" s="691"/>
      <c r="I29" s="690"/>
      <c r="J29" s="691">
        <v>1</v>
      </c>
      <c r="K29" s="690">
        <v>-2</v>
      </c>
      <c r="L29" s="691"/>
      <c r="M29" s="690"/>
      <c r="N29" s="691">
        <v>28</v>
      </c>
      <c r="O29" s="690">
        <v>7</v>
      </c>
      <c r="P29" s="691">
        <v>46</v>
      </c>
      <c r="Q29" s="690"/>
      <c r="R29" s="691"/>
      <c r="S29" s="690"/>
      <c r="T29" s="691"/>
      <c r="U29" s="690"/>
      <c r="V29" s="691"/>
      <c r="W29" s="690"/>
      <c r="X29" s="691"/>
      <c r="Y29" s="690"/>
      <c r="Z29" s="697"/>
      <c r="AA29" s="690"/>
      <c r="AB29" s="691"/>
      <c r="AC29" s="690"/>
      <c r="AD29" s="691"/>
      <c r="AE29" s="690"/>
      <c r="AF29" s="691"/>
      <c r="AG29" s="690">
        <v>11</v>
      </c>
      <c r="AH29" s="691"/>
      <c r="AI29" s="690"/>
      <c r="AJ29" s="691"/>
      <c r="AK29" s="690"/>
      <c r="AL29" s="698"/>
      <c r="AM29" s="690"/>
      <c r="AN29" s="699"/>
      <c r="AO29" s="693"/>
      <c r="AP29" s="691"/>
      <c r="AQ29" s="690"/>
      <c r="AR29" s="700"/>
      <c r="AS29" s="690"/>
      <c r="AT29" s="691"/>
      <c r="AU29" s="690"/>
      <c r="AV29" s="689">
        <f t="shared" si="0"/>
        <v>162</v>
      </c>
      <c r="AW29" s="768">
        <f t="shared" si="1"/>
        <v>20</v>
      </c>
      <c r="AX29" s="700"/>
      <c r="AY29" s="690"/>
      <c r="AZ29" s="694">
        <f t="shared" si="2"/>
        <v>162</v>
      </c>
      <c r="BA29" s="771">
        <f t="shared" si="3"/>
        <v>20</v>
      </c>
    </row>
    <row r="30" spans="1:53" x14ac:dyDescent="0.3">
      <c r="A30" s="695" t="s">
        <v>251</v>
      </c>
      <c r="B30" s="696"/>
      <c r="C30" s="690"/>
      <c r="D30" s="691"/>
      <c r="E30" s="690"/>
      <c r="F30" s="691"/>
      <c r="G30" s="690"/>
      <c r="H30" s="691"/>
      <c r="I30" s="690"/>
      <c r="J30" s="691"/>
      <c r="K30" s="690"/>
      <c r="L30" s="691"/>
      <c r="M30" s="690"/>
      <c r="N30" s="691"/>
      <c r="O30" s="690"/>
      <c r="P30" s="691"/>
      <c r="Q30" s="690"/>
      <c r="R30" s="691"/>
      <c r="S30" s="690"/>
      <c r="T30" s="691"/>
      <c r="U30" s="690"/>
      <c r="V30" s="691"/>
      <c r="W30" s="690"/>
      <c r="X30" s="691"/>
      <c r="Y30" s="690"/>
      <c r="Z30" s="697"/>
      <c r="AA30" s="690"/>
      <c r="AB30" s="691"/>
      <c r="AC30" s="690"/>
      <c r="AD30" s="691"/>
      <c r="AE30" s="690"/>
      <c r="AF30" s="691"/>
      <c r="AG30" s="690"/>
      <c r="AH30" s="691"/>
      <c r="AI30" s="690"/>
      <c r="AJ30" s="691"/>
      <c r="AK30" s="690"/>
      <c r="AL30" s="698"/>
      <c r="AM30" s="690"/>
      <c r="AN30" s="699"/>
      <c r="AO30" s="693"/>
      <c r="AP30" s="691"/>
      <c r="AQ30" s="690"/>
      <c r="AR30" s="700"/>
      <c r="AS30" s="690"/>
      <c r="AT30" s="691"/>
      <c r="AU30" s="690"/>
      <c r="AV30" s="689">
        <f t="shared" si="0"/>
        <v>0</v>
      </c>
      <c r="AW30" s="768">
        <f t="shared" si="1"/>
        <v>0</v>
      </c>
      <c r="AX30" s="700"/>
      <c r="AY30" s="690"/>
      <c r="AZ30" s="694">
        <f t="shared" si="2"/>
        <v>0</v>
      </c>
      <c r="BA30" s="771">
        <f t="shared" si="3"/>
        <v>0</v>
      </c>
    </row>
    <row r="31" spans="1:53" x14ac:dyDescent="0.3">
      <c r="A31" s="695" t="s">
        <v>252</v>
      </c>
      <c r="B31" s="696">
        <v>305</v>
      </c>
      <c r="C31" s="690">
        <v>416</v>
      </c>
      <c r="D31" s="691">
        <v>24</v>
      </c>
      <c r="E31" s="690">
        <v>22</v>
      </c>
      <c r="F31" s="691">
        <v>213</v>
      </c>
      <c r="G31" s="690">
        <v>456</v>
      </c>
      <c r="H31" s="691">
        <v>3266</v>
      </c>
      <c r="I31" s="690">
        <v>7193</v>
      </c>
      <c r="J31" s="691"/>
      <c r="K31" s="690"/>
      <c r="L31" s="691">
        <v>1291</v>
      </c>
      <c r="M31" s="690">
        <v>2189</v>
      </c>
      <c r="N31" s="691">
        <v>-141</v>
      </c>
      <c r="O31" s="690">
        <v>661</v>
      </c>
      <c r="P31" s="691">
        <v>3279</v>
      </c>
      <c r="Q31" s="690">
        <v>3996</v>
      </c>
      <c r="R31" s="691">
        <v>10985</v>
      </c>
      <c r="S31" s="690"/>
      <c r="T31" s="691">
        <v>2335</v>
      </c>
      <c r="U31" s="690">
        <v>5677</v>
      </c>
      <c r="V31" s="691">
        <f>28371+12616</f>
        <v>40987</v>
      </c>
      <c r="W31" s="690">
        <f>60145+14494</f>
        <v>74639</v>
      </c>
      <c r="X31" s="691"/>
      <c r="Y31" s="690">
        <v>3920</v>
      </c>
      <c r="Z31" s="697">
        <v>1289</v>
      </c>
      <c r="AA31" s="690">
        <v>1232</v>
      </c>
      <c r="AB31" s="691">
        <v>11240</v>
      </c>
      <c r="AC31" s="690">
        <v>18174</v>
      </c>
      <c r="AD31" s="691">
        <v>3167</v>
      </c>
      <c r="AE31" s="690">
        <v>7279</v>
      </c>
      <c r="AF31" s="691">
        <v>216</v>
      </c>
      <c r="AG31" s="690">
        <v>5325</v>
      </c>
      <c r="AH31" s="691">
        <v>5162</v>
      </c>
      <c r="AI31" s="690">
        <v>9534</v>
      </c>
      <c r="AJ31" s="691">
        <v>1740</v>
      </c>
      <c r="AK31" s="690">
        <v>1604</v>
      </c>
      <c r="AL31" s="698"/>
      <c r="AM31" s="690"/>
      <c r="AN31" s="699">
        <v>15239</v>
      </c>
      <c r="AO31" s="693">
        <v>20971</v>
      </c>
      <c r="AP31" s="691">
        <v>2595</v>
      </c>
      <c r="AQ31" s="690">
        <v>3525</v>
      </c>
      <c r="AR31" s="700">
        <v>1371</v>
      </c>
      <c r="AS31" s="690"/>
      <c r="AT31" s="691">
        <v>1520</v>
      </c>
      <c r="AU31" s="690">
        <v>8195</v>
      </c>
      <c r="AV31" s="689">
        <f t="shared" si="0"/>
        <v>106083</v>
      </c>
      <c r="AW31" s="768">
        <f t="shared" si="1"/>
        <v>175008</v>
      </c>
      <c r="AX31" s="700"/>
      <c r="AY31" s="690"/>
      <c r="AZ31" s="694">
        <f t="shared" si="2"/>
        <v>106083</v>
      </c>
      <c r="BA31" s="771">
        <f t="shared" si="3"/>
        <v>175008</v>
      </c>
    </row>
    <row r="32" spans="1:53" x14ac:dyDescent="0.3">
      <c r="A32" s="695" t="s">
        <v>253</v>
      </c>
      <c r="B32" s="696"/>
      <c r="C32" s="690"/>
      <c r="D32" s="691">
        <v>330</v>
      </c>
      <c r="E32" s="690">
        <v>377</v>
      </c>
      <c r="F32" s="691"/>
      <c r="G32" s="690"/>
      <c r="H32" s="691"/>
      <c r="I32" s="690"/>
      <c r="J32" s="691"/>
      <c r="K32" s="690"/>
      <c r="L32" s="691"/>
      <c r="M32" s="690"/>
      <c r="N32" s="691"/>
      <c r="O32" s="690"/>
      <c r="P32" s="691">
        <v>779</v>
      </c>
      <c r="Q32" s="690">
        <v>711</v>
      </c>
      <c r="R32" s="691"/>
      <c r="S32" s="690"/>
      <c r="T32" s="691"/>
      <c r="U32" s="690"/>
      <c r="V32" s="691"/>
      <c r="W32" s="690"/>
      <c r="X32" s="691"/>
      <c r="Y32" s="690"/>
      <c r="Z32" s="697"/>
      <c r="AA32" s="690"/>
      <c r="AB32" s="691">
        <v>225</v>
      </c>
      <c r="AC32" s="690">
        <v>261</v>
      </c>
      <c r="AD32" s="691"/>
      <c r="AE32" s="690"/>
      <c r="AF32" s="691"/>
      <c r="AG32" s="690"/>
      <c r="AH32" s="691"/>
      <c r="AI32" s="690"/>
      <c r="AJ32" s="691">
        <v>1873</v>
      </c>
      <c r="AK32" s="690">
        <v>1865</v>
      </c>
      <c r="AL32" s="698"/>
      <c r="AM32" s="690"/>
      <c r="AN32" s="699"/>
      <c r="AO32" s="693"/>
      <c r="AP32" s="691"/>
      <c r="AQ32" s="690"/>
      <c r="AR32" s="700"/>
      <c r="AS32" s="690"/>
      <c r="AT32" s="691"/>
      <c r="AU32" s="690"/>
      <c r="AV32" s="689">
        <f t="shared" si="0"/>
        <v>3207</v>
      </c>
      <c r="AW32" s="768">
        <f t="shared" si="1"/>
        <v>3214</v>
      </c>
      <c r="AX32" s="700"/>
      <c r="AY32" s="690"/>
      <c r="AZ32" s="694">
        <f t="shared" si="2"/>
        <v>3207</v>
      </c>
      <c r="BA32" s="771">
        <f t="shared" si="3"/>
        <v>3214</v>
      </c>
    </row>
    <row r="33" spans="1:53" x14ac:dyDescent="0.3">
      <c r="A33" s="695" t="s">
        <v>254</v>
      </c>
      <c r="B33" s="696"/>
      <c r="C33" s="690"/>
      <c r="D33" s="691">
        <v>66</v>
      </c>
      <c r="E33" s="690">
        <v>64</v>
      </c>
      <c r="F33" s="691"/>
      <c r="G33" s="690"/>
      <c r="H33" s="691"/>
      <c r="I33" s="690"/>
      <c r="J33" s="691"/>
      <c r="K33" s="690"/>
      <c r="L33" s="691"/>
      <c r="M33" s="690"/>
      <c r="N33" s="691">
        <v>125</v>
      </c>
      <c r="O33" s="690">
        <v>214</v>
      </c>
      <c r="P33" s="691"/>
      <c r="Q33" s="690"/>
      <c r="R33" s="691"/>
      <c r="S33" s="690"/>
      <c r="T33" s="691"/>
      <c r="U33" s="690"/>
      <c r="V33" s="691">
        <v>6627</v>
      </c>
      <c r="W33" s="690">
        <v>7628</v>
      </c>
      <c r="X33" s="691"/>
      <c r="Y33" s="690"/>
      <c r="Z33" s="697"/>
      <c r="AA33" s="690">
        <v>362</v>
      </c>
      <c r="AB33" s="691"/>
      <c r="AC33" s="690"/>
      <c r="AD33" s="691"/>
      <c r="AE33" s="690"/>
      <c r="AF33" s="691"/>
      <c r="AG33" s="690"/>
      <c r="AH33" s="691">
        <v>772</v>
      </c>
      <c r="AI33" s="690">
        <v>1018</v>
      </c>
      <c r="AJ33" s="691"/>
      <c r="AK33" s="690"/>
      <c r="AL33" s="698"/>
      <c r="AM33" s="690"/>
      <c r="AN33" s="699"/>
      <c r="AO33" s="693"/>
      <c r="AP33" s="691"/>
      <c r="AQ33" s="690"/>
      <c r="AR33" s="700"/>
      <c r="AS33" s="690"/>
      <c r="AT33" s="691"/>
      <c r="AU33" s="690"/>
      <c r="AV33" s="689">
        <f t="shared" si="0"/>
        <v>7590</v>
      </c>
      <c r="AW33" s="768">
        <f t="shared" si="1"/>
        <v>9286</v>
      </c>
      <c r="AX33" s="700"/>
      <c r="AY33" s="690"/>
      <c r="AZ33" s="694">
        <f t="shared" si="2"/>
        <v>7590</v>
      </c>
      <c r="BA33" s="771">
        <f t="shared" si="3"/>
        <v>9286</v>
      </c>
    </row>
    <row r="34" spans="1:53" x14ac:dyDescent="0.3">
      <c r="A34" s="695" t="s">
        <v>255</v>
      </c>
      <c r="B34" s="696">
        <v>693</v>
      </c>
      <c r="C34" s="690">
        <v>828</v>
      </c>
      <c r="D34" s="691">
        <v>10</v>
      </c>
      <c r="E34" s="690">
        <v>10</v>
      </c>
      <c r="F34" s="691">
        <v>185</v>
      </c>
      <c r="G34" s="690">
        <v>195</v>
      </c>
      <c r="H34" s="691">
        <v>572</v>
      </c>
      <c r="I34" s="690">
        <v>855</v>
      </c>
      <c r="J34" s="691">
        <v>215</v>
      </c>
      <c r="K34" s="690">
        <v>391</v>
      </c>
      <c r="L34" s="691"/>
      <c r="M34" s="690"/>
      <c r="N34" s="691">
        <v>160</v>
      </c>
      <c r="O34" s="690">
        <v>155</v>
      </c>
      <c r="P34" s="691"/>
      <c r="Q34" s="690"/>
      <c r="R34" s="691">
        <v>417</v>
      </c>
      <c r="S34" s="690"/>
      <c r="T34" s="691"/>
      <c r="U34" s="690"/>
      <c r="V34" s="691"/>
      <c r="W34" s="690"/>
      <c r="X34" s="691"/>
      <c r="Y34" s="690"/>
      <c r="Z34" s="697">
        <v>116</v>
      </c>
      <c r="AA34" s="690">
        <v>151</v>
      </c>
      <c r="AB34" s="691"/>
      <c r="AC34" s="690"/>
      <c r="AD34" s="691">
        <v>580</v>
      </c>
      <c r="AE34" s="690">
        <v>769</v>
      </c>
      <c r="AF34" s="691">
        <v>1118</v>
      </c>
      <c r="AG34" s="690">
        <v>1571</v>
      </c>
      <c r="AH34" s="691"/>
      <c r="AI34" s="690"/>
      <c r="AJ34" s="691"/>
      <c r="AK34" s="690"/>
      <c r="AL34" s="698"/>
      <c r="AM34" s="690"/>
      <c r="AN34" s="699"/>
      <c r="AO34" s="693"/>
      <c r="AP34" s="691"/>
      <c r="AQ34" s="690"/>
      <c r="AR34" s="700"/>
      <c r="AS34" s="690"/>
      <c r="AT34" s="691"/>
      <c r="AU34" s="690"/>
      <c r="AV34" s="689">
        <f t="shared" si="0"/>
        <v>4066</v>
      </c>
      <c r="AW34" s="768">
        <f t="shared" si="1"/>
        <v>4925</v>
      </c>
      <c r="AX34" s="700">
        <v>16817.060000000001</v>
      </c>
      <c r="AY34" s="690">
        <v>17403</v>
      </c>
      <c r="AZ34" s="694">
        <f t="shared" si="2"/>
        <v>20883.060000000001</v>
      </c>
      <c r="BA34" s="771">
        <f t="shared" si="3"/>
        <v>22328</v>
      </c>
    </row>
    <row r="35" spans="1:53" x14ac:dyDescent="0.3">
      <c r="A35" s="695" t="s">
        <v>256</v>
      </c>
      <c r="B35" s="696">
        <v>636</v>
      </c>
      <c r="C35" s="690">
        <f>1514-28</f>
        <v>1486</v>
      </c>
      <c r="D35" s="691">
        <v>62</v>
      </c>
      <c r="E35" s="690">
        <v>59</v>
      </c>
      <c r="F35" s="691"/>
      <c r="G35" s="690"/>
      <c r="H35" s="691"/>
      <c r="I35" s="690"/>
      <c r="J35" s="691"/>
      <c r="K35" s="690"/>
      <c r="L35" s="691"/>
      <c r="M35" s="690"/>
      <c r="N35" s="691"/>
      <c r="O35" s="690"/>
      <c r="P35" s="691"/>
      <c r="Q35" s="690"/>
      <c r="R35" s="691"/>
      <c r="S35" s="690"/>
      <c r="T35" s="691"/>
      <c r="U35" s="690"/>
      <c r="V35" s="691"/>
      <c r="W35" s="690"/>
      <c r="X35" s="691"/>
      <c r="Y35" s="690"/>
      <c r="Z35" s="697"/>
      <c r="AA35" s="690"/>
      <c r="AB35" s="691"/>
      <c r="AC35" s="690"/>
      <c r="AD35" s="691">
        <v>426</v>
      </c>
      <c r="AE35" s="690">
        <v>726</v>
      </c>
      <c r="AF35" s="691">
        <v>2316</v>
      </c>
      <c r="AG35" s="690">
        <v>3369</v>
      </c>
      <c r="AH35" s="691">
        <v>302</v>
      </c>
      <c r="AI35" s="690">
        <v>547</v>
      </c>
      <c r="AJ35" s="691"/>
      <c r="AK35" s="690"/>
      <c r="AL35" s="698"/>
      <c r="AM35" s="690"/>
      <c r="AN35" s="699">
        <v>131</v>
      </c>
      <c r="AO35" s="693">
        <v>232</v>
      </c>
      <c r="AP35" s="691"/>
      <c r="AQ35" s="690"/>
      <c r="AR35" s="700"/>
      <c r="AS35" s="690"/>
      <c r="AT35" s="702"/>
      <c r="AU35" s="690"/>
      <c r="AV35" s="689">
        <f t="shared" si="0"/>
        <v>3873</v>
      </c>
      <c r="AW35" s="768">
        <f t="shared" si="1"/>
        <v>6419</v>
      </c>
      <c r="AX35" s="700"/>
      <c r="AY35" s="690"/>
      <c r="AZ35" s="694">
        <f t="shared" si="2"/>
        <v>3873</v>
      </c>
      <c r="BA35" s="771">
        <f t="shared" si="3"/>
        <v>6419</v>
      </c>
    </row>
    <row r="36" spans="1:53" x14ac:dyDescent="0.3">
      <c r="A36" s="695" t="s">
        <v>257</v>
      </c>
      <c r="B36" s="696">
        <v>706</v>
      </c>
      <c r="C36" s="690">
        <f>774</f>
        <v>774</v>
      </c>
      <c r="D36" s="691">
        <v>112</v>
      </c>
      <c r="E36" s="690">
        <v>91</v>
      </c>
      <c r="F36" s="691">
        <v>86</v>
      </c>
      <c r="G36" s="690">
        <v>83</v>
      </c>
      <c r="H36" s="691">
        <f>19+1177+1073</f>
        <v>2269</v>
      </c>
      <c r="I36" s="690">
        <f>1236+1602+8</f>
        <v>2846</v>
      </c>
      <c r="J36" s="691">
        <f>26+293+39+119+574+166</f>
        <v>1217</v>
      </c>
      <c r="K36" s="690">
        <f>114+958+50+145+683+191</f>
        <v>2141</v>
      </c>
      <c r="L36" s="691">
        <v>1586</v>
      </c>
      <c r="M36" s="690">
        <v>1722</v>
      </c>
      <c r="N36" s="691">
        <f>198+86</f>
        <v>284</v>
      </c>
      <c r="O36" s="690">
        <f>80+98</f>
        <v>178</v>
      </c>
      <c r="P36" s="691">
        <v>219</v>
      </c>
      <c r="Q36" s="690">
        <v>246</v>
      </c>
      <c r="R36" s="691">
        <f>200+73</f>
        <v>273</v>
      </c>
      <c r="S36" s="690"/>
      <c r="T36" s="691">
        <f>133+31</f>
        <v>164</v>
      </c>
      <c r="U36" s="690">
        <f>59+237</f>
        <v>296</v>
      </c>
      <c r="V36" s="691"/>
      <c r="W36" s="690"/>
      <c r="X36" s="691"/>
      <c r="Y36" s="690">
        <f>-379+1731+3945+170+599</f>
        <v>6066</v>
      </c>
      <c r="Z36" s="697">
        <f>328+339+80</f>
        <v>747</v>
      </c>
      <c r="AA36" s="690">
        <f>236+96</f>
        <v>332</v>
      </c>
      <c r="AB36" s="691">
        <f>103</f>
        <v>103</v>
      </c>
      <c r="AC36" s="690">
        <v>103</v>
      </c>
      <c r="AD36" s="701">
        <f>1038+1759+306</f>
        <v>3103</v>
      </c>
      <c r="AE36" s="690">
        <f>638+757+480</f>
        <v>1875</v>
      </c>
      <c r="AF36" s="691">
        <f>1322+79+816+3637+286-7</f>
        <v>6133</v>
      </c>
      <c r="AG36" s="690">
        <f>1268+63+1126+7409+440</f>
        <v>10306</v>
      </c>
      <c r="AH36" s="691">
        <v>274</v>
      </c>
      <c r="AI36" s="690">
        <f>77</f>
        <v>77</v>
      </c>
      <c r="AJ36" s="691">
        <f>495+481</f>
        <v>976</v>
      </c>
      <c r="AK36" s="690">
        <f>374+367</f>
        <v>741</v>
      </c>
      <c r="AL36" s="698"/>
      <c r="AM36" s="690"/>
      <c r="AN36" s="699">
        <f>4941+1668</f>
        <v>6609</v>
      </c>
      <c r="AO36" s="693">
        <f>6566+1900</f>
        <v>8466</v>
      </c>
      <c r="AP36" s="691">
        <f>1536+556</f>
        <v>2092</v>
      </c>
      <c r="AQ36" s="690">
        <f>168+1716</f>
        <v>1884</v>
      </c>
      <c r="AR36" s="700">
        <v>320</v>
      </c>
      <c r="AS36" s="690"/>
      <c r="AT36" s="691">
        <f>84+1011</f>
        <v>1095</v>
      </c>
      <c r="AU36" s="690">
        <f>91+1368+137</f>
        <v>1596</v>
      </c>
      <c r="AV36" s="689">
        <f t="shared" si="0"/>
        <v>28368</v>
      </c>
      <c r="AW36" s="768">
        <f t="shared" si="1"/>
        <v>39823</v>
      </c>
      <c r="AX36" s="691">
        <f>96849.59+10692.74+855.43+181.28+35365.09</f>
        <v>143944.13</v>
      </c>
      <c r="AY36" s="690">
        <f>77006+11265+1192+1076+40051+48</f>
        <v>130638</v>
      </c>
      <c r="AZ36" s="694">
        <f t="shared" si="2"/>
        <v>172312.13</v>
      </c>
      <c r="BA36" s="771">
        <f t="shared" si="3"/>
        <v>170461</v>
      </c>
    </row>
    <row r="37" spans="1:53" ht="17.25" thickBot="1" x14ac:dyDescent="0.35">
      <c r="A37" s="704" t="s">
        <v>258</v>
      </c>
      <c r="B37" s="705">
        <v>2627</v>
      </c>
      <c r="C37" s="690">
        <v>3570</v>
      </c>
      <c r="D37" s="706"/>
      <c r="E37" s="690"/>
      <c r="F37" s="706"/>
      <c r="G37" s="690"/>
      <c r="H37" s="706"/>
      <c r="I37" s="690"/>
      <c r="J37" s="706"/>
      <c r="K37" s="690"/>
      <c r="L37" s="706"/>
      <c r="M37" s="690"/>
      <c r="N37" s="706"/>
      <c r="O37" s="690"/>
      <c r="P37" s="706"/>
      <c r="Q37" s="690"/>
      <c r="R37" s="706"/>
      <c r="S37" s="690"/>
      <c r="T37" s="706">
        <v>374</v>
      </c>
      <c r="U37" s="690">
        <v>599</v>
      </c>
      <c r="V37" s="706"/>
      <c r="W37" s="690"/>
      <c r="X37" s="706"/>
      <c r="Y37" s="690"/>
      <c r="Z37" s="707"/>
      <c r="AA37" s="690"/>
      <c r="AB37" s="706"/>
      <c r="AC37" s="690"/>
      <c r="AD37" s="708"/>
      <c r="AE37" s="690"/>
      <c r="AF37" s="706"/>
      <c r="AG37" s="690"/>
      <c r="AH37" s="706"/>
      <c r="AI37" s="690"/>
      <c r="AJ37" s="706"/>
      <c r="AK37" s="690"/>
      <c r="AL37" s="709"/>
      <c r="AM37" s="690"/>
      <c r="AN37" s="710"/>
      <c r="AO37" s="693"/>
      <c r="AP37" s="706"/>
      <c r="AQ37" s="690"/>
      <c r="AR37" s="700"/>
      <c r="AS37" s="690"/>
      <c r="AT37" s="706"/>
      <c r="AU37" s="690"/>
      <c r="AV37" s="774">
        <f t="shared" si="0"/>
        <v>3001</v>
      </c>
      <c r="AW37" s="775">
        <f t="shared" si="1"/>
        <v>4169</v>
      </c>
      <c r="AX37" s="706"/>
      <c r="AY37" s="690"/>
      <c r="AZ37" s="874">
        <f t="shared" si="2"/>
        <v>3001</v>
      </c>
      <c r="BA37" s="875">
        <f t="shared" si="3"/>
        <v>4169</v>
      </c>
    </row>
    <row r="38" spans="1:53" s="685" customFormat="1" ht="18.75" thickBot="1" x14ac:dyDescent="0.4">
      <c r="A38" s="711" t="s">
        <v>54</v>
      </c>
      <c r="B38" s="712">
        <f>SUM(B5:B37)</f>
        <v>105313</v>
      </c>
      <c r="C38" s="713">
        <f t="shared" ref="C38:AU38" si="4">SUM(C5:C37)</f>
        <v>142189</v>
      </c>
      <c r="D38" s="712">
        <f t="shared" si="4"/>
        <v>13592</v>
      </c>
      <c r="E38" s="713">
        <f t="shared" si="4"/>
        <v>12876</v>
      </c>
      <c r="F38" s="712">
        <f t="shared" si="4"/>
        <v>20251</v>
      </c>
      <c r="G38" s="713">
        <f t="shared" si="4"/>
        <v>20147</v>
      </c>
      <c r="H38" s="712">
        <f t="shared" si="4"/>
        <v>190154</v>
      </c>
      <c r="I38" s="713">
        <f t="shared" si="4"/>
        <v>252470</v>
      </c>
      <c r="J38" s="712">
        <f t="shared" si="4"/>
        <v>62760</v>
      </c>
      <c r="K38" s="713">
        <f t="shared" si="4"/>
        <v>66857</v>
      </c>
      <c r="L38" s="712">
        <f t="shared" si="4"/>
        <v>48975</v>
      </c>
      <c r="M38" s="713">
        <f t="shared" si="4"/>
        <v>59349</v>
      </c>
      <c r="N38" s="712">
        <f t="shared" si="4"/>
        <v>18896</v>
      </c>
      <c r="O38" s="713">
        <f t="shared" si="4"/>
        <v>21498</v>
      </c>
      <c r="P38" s="712">
        <f t="shared" si="4"/>
        <v>38025</v>
      </c>
      <c r="Q38" s="713">
        <f t="shared" si="4"/>
        <v>40214</v>
      </c>
      <c r="R38" s="712">
        <f t="shared" si="4"/>
        <v>51532</v>
      </c>
      <c r="S38" s="713">
        <f t="shared" si="4"/>
        <v>0</v>
      </c>
      <c r="T38" s="712">
        <f t="shared" si="4"/>
        <v>33707</v>
      </c>
      <c r="U38" s="713">
        <f t="shared" si="4"/>
        <v>39683</v>
      </c>
      <c r="V38" s="712">
        <f t="shared" si="4"/>
        <v>380352</v>
      </c>
      <c r="W38" s="713">
        <f t="shared" si="4"/>
        <v>519992</v>
      </c>
      <c r="X38" s="712">
        <f t="shared" si="4"/>
        <v>209733</v>
      </c>
      <c r="Y38" s="713">
        <f t="shared" si="4"/>
        <v>301640</v>
      </c>
      <c r="Z38" s="712">
        <f t="shared" si="4"/>
        <v>19718</v>
      </c>
      <c r="AA38" s="713">
        <f t="shared" si="4"/>
        <v>25210</v>
      </c>
      <c r="AB38" s="712">
        <f t="shared" si="4"/>
        <v>48051</v>
      </c>
      <c r="AC38" s="713">
        <f t="shared" si="4"/>
        <v>61689</v>
      </c>
      <c r="AD38" s="712">
        <f t="shared" si="4"/>
        <v>115622</v>
      </c>
      <c r="AE38" s="713">
        <f t="shared" si="4"/>
        <v>136445</v>
      </c>
      <c r="AF38" s="712">
        <f t="shared" si="4"/>
        <v>218047</v>
      </c>
      <c r="AG38" s="713">
        <f t="shared" si="4"/>
        <v>230931</v>
      </c>
      <c r="AH38" s="712">
        <f t="shared" si="4"/>
        <v>82372</v>
      </c>
      <c r="AI38" s="713">
        <f t="shared" si="4"/>
        <v>104093</v>
      </c>
      <c r="AJ38" s="712">
        <f t="shared" si="4"/>
        <v>77840</v>
      </c>
      <c r="AK38" s="713">
        <f t="shared" si="4"/>
        <v>86835</v>
      </c>
      <c r="AL38" s="712">
        <f t="shared" si="4"/>
        <v>0</v>
      </c>
      <c r="AM38" s="713">
        <f t="shared" si="4"/>
        <v>0</v>
      </c>
      <c r="AN38" s="712">
        <f t="shared" si="4"/>
        <v>210195</v>
      </c>
      <c r="AO38" s="713">
        <f t="shared" si="4"/>
        <v>245086</v>
      </c>
      <c r="AP38" s="712">
        <f t="shared" si="4"/>
        <v>35962</v>
      </c>
      <c r="AQ38" s="713">
        <f t="shared" si="4"/>
        <v>39599</v>
      </c>
      <c r="AR38" s="712">
        <f t="shared" si="4"/>
        <v>35188</v>
      </c>
      <c r="AS38" s="713">
        <f t="shared" si="4"/>
        <v>0</v>
      </c>
      <c r="AT38" s="712">
        <f t="shared" si="4"/>
        <v>180971</v>
      </c>
      <c r="AU38" s="713">
        <f t="shared" si="4"/>
        <v>269796</v>
      </c>
      <c r="AV38" s="776">
        <f t="shared" si="0"/>
        <v>2197256</v>
      </c>
      <c r="AW38" s="777">
        <f t="shared" si="1"/>
        <v>2676599</v>
      </c>
      <c r="AX38" s="714">
        <f>SUM(AX5:AX37)</f>
        <v>2715479.9500000007</v>
      </c>
      <c r="AY38" s="714">
        <f>SUM(AY5:AY37)</f>
        <v>3513878</v>
      </c>
      <c r="AZ38" s="776">
        <f t="shared" si="2"/>
        <v>4912735.9500000011</v>
      </c>
      <c r="BA38" s="777">
        <f t="shared" si="3"/>
        <v>6190477</v>
      </c>
    </row>
    <row r="39" spans="1:53" x14ac:dyDescent="0.3">
      <c r="A39" s="715" t="s">
        <v>259</v>
      </c>
      <c r="B39" s="716"/>
      <c r="C39" s="717"/>
      <c r="D39" s="718"/>
      <c r="E39" s="719"/>
      <c r="F39" s="718"/>
      <c r="G39" s="719"/>
      <c r="H39" s="718"/>
      <c r="I39" s="719"/>
      <c r="J39" s="718"/>
      <c r="K39" s="719"/>
      <c r="L39" s="718"/>
      <c r="M39" s="719"/>
      <c r="N39" s="718"/>
      <c r="O39" s="719"/>
      <c r="P39" s="718"/>
      <c r="Q39" s="719"/>
      <c r="R39" s="718"/>
      <c r="S39" s="719"/>
      <c r="T39" s="718"/>
      <c r="U39" s="719"/>
      <c r="V39" s="718"/>
      <c r="W39" s="719"/>
      <c r="X39" s="718"/>
      <c r="Y39" s="719"/>
      <c r="Z39" s="720"/>
      <c r="AA39" s="721"/>
      <c r="AB39" s="718"/>
      <c r="AC39" s="719"/>
      <c r="AD39" s="718"/>
      <c r="AE39" s="719"/>
      <c r="AF39" s="718"/>
      <c r="AG39" s="719"/>
      <c r="AH39" s="718"/>
      <c r="AI39" s="719"/>
      <c r="AJ39" s="718"/>
      <c r="AK39" s="719"/>
      <c r="AL39" s="722"/>
      <c r="AM39" s="719"/>
      <c r="AN39" s="718"/>
      <c r="AO39" s="719"/>
      <c r="AP39" s="718"/>
      <c r="AQ39" s="719"/>
      <c r="AR39" s="720"/>
      <c r="AS39" s="721"/>
      <c r="AT39" s="718"/>
      <c r="AU39" s="719"/>
      <c r="AV39" s="689"/>
      <c r="AW39" s="768"/>
      <c r="AX39" s="718"/>
      <c r="AY39" s="719"/>
      <c r="AZ39" s="689"/>
      <c r="BA39" s="768"/>
    </row>
    <row r="40" spans="1:53" ht="17.25" thickBot="1" x14ac:dyDescent="0.35">
      <c r="A40" s="723"/>
      <c r="B40" s="724"/>
      <c r="C40" s="725"/>
      <c r="D40" s="724"/>
      <c r="E40" s="725"/>
      <c r="F40" s="724"/>
      <c r="G40" s="725"/>
      <c r="H40" s="724"/>
      <c r="I40" s="725"/>
      <c r="J40" s="724"/>
      <c r="K40" s="725"/>
      <c r="L40" s="724"/>
      <c r="M40" s="725"/>
      <c r="N40" s="724"/>
      <c r="O40" s="725"/>
      <c r="P40" s="724"/>
      <c r="Q40" s="725"/>
      <c r="R40" s="724"/>
      <c r="S40" s="725"/>
      <c r="T40" s="724"/>
      <c r="U40" s="725"/>
      <c r="V40" s="724"/>
      <c r="W40" s="725"/>
      <c r="X40" s="724"/>
      <c r="Y40" s="725"/>
      <c r="Z40" s="724"/>
      <c r="AA40" s="725"/>
      <c r="AB40" s="724"/>
      <c r="AC40" s="725"/>
      <c r="AD40" s="724"/>
      <c r="AE40" s="725"/>
      <c r="AF40" s="724"/>
      <c r="AG40" s="725"/>
      <c r="AH40" s="724"/>
      <c r="AI40" s="725"/>
      <c r="AJ40" s="724"/>
      <c r="AK40" s="725"/>
      <c r="AL40" s="724"/>
      <c r="AM40" s="725"/>
      <c r="AN40" s="724"/>
      <c r="AO40" s="725"/>
      <c r="AP40" s="724"/>
      <c r="AQ40" s="725"/>
      <c r="AR40" s="724"/>
      <c r="AS40" s="725"/>
      <c r="AT40" s="724"/>
      <c r="AU40" s="725"/>
      <c r="AV40" s="769"/>
      <c r="AW40" s="770"/>
      <c r="AX40" s="724"/>
      <c r="AY40" s="725"/>
      <c r="AZ40" s="772"/>
      <c r="BA40" s="773"/>
    </row>
  </sheetData>
  <mergeCells count="29">
    <mergeCell ref="A1:AZ1"/>
    <mergeCell ref="A2:AZ2"/>
    <mergeCell ref="A3:A4"/>
    <mergeCell ref="B3:C3"/>
    <mergeCell ref="D3:E3"/>
    <mergeCell ref="F3:G3"/>
    <mergeCell ref="H3:I3"/>
    <mergeCell ref="J3:K3"/>
    <mergeCell ref="L3:M3"/>
    <mergeCell ref="N3:O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BG39"/>
  <sheetViews>
    <sheetView workbookViewId="0">
      <pane xSplit="1" topLeftCell="B1" activePane="topRight" state="frozen"/>
      <selection pane="topRight" sqref="A1:XFD1048576"/>
    </sheetView>
  </sheetViews>
  <sheetFormatPr defaultRowHeight="15" x14ac:dyDescent="0.25"/>
  <cols>
    <col min="1" max="1" width="37.28515625" style="137" bestFit="1" customWidth="1"/>
    <col min="2" max="21" width="15" bestFit="1" customWidth="1"/>
    <col min="22" max="23" width="15" style="134" bestFit="1" customWidth="1"/>
    <col min="24" max="41" width="15" bestFit="1" customWidth="1"/>
    <col min="42" max="47" width="15" style="134" bestFit="1" customWidth="1"/>
    <col min="48" max="53" width="15" style="135" bestFit="1" customWidth="1"/>
    <col min="57" max="57" width="11.42578125" customWidth="1"/>
    <col min="58" max="58" width="13" customWidth="1"/>
    <col min="59" max="59" width="11.5703125" customWidth="1"/>
  </cols>
  <sheetData>
    <row r="1" spans="1:59" s="67" customFormat="1" ht="13.5" customHeight="1" x14ac:dyDescent="0.35">
      <c r="A1" s="981" t="s">
        <v>110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981"/>
      <c r="R1" s="981"/>
      <c r="S1" s="981"/>
      <c r="T1" s="981"/>
      <c r="U1" s="981"/>
      <c r="V1" s="981"/>
      <c r="W1" s="981"/>
      <c r="X1" s="981"/>
      <c r="Y1" s="981"/>
      <c r="Z1" s="981"/>
      <c r="AA1" s="981"/>
      <c r="AB1" s="981"/>
      <c r="AC1" s="981"/>
      <c r="AD1" s="981"/>
      <c r="AE1" s="981"/>
      <c r="AF1" s="981"/>
      <c r="AG1" s="981"/>
      <c r="AH1" s="981"/>
      <c r="AI1" s="981"/>
      <c r="AJ1" s="981"/>
      <c r="AK1" s="981"/>
      <c r="AL1" s="981"/>
      <c r="AM1" s="981"/>
      <c r="AN1" s="981"/>
      <c r="AO1" s="981"/>
      <c r="AP1" s="981"/>
      <c r="AQ1" s="981"/>
      <c r="AR1" s="981"/>
      <c r="AS1" s="981"/>
      <c r="AT1" s="981"/>
      <c r="AU1" s="981"/>
      <c r="AV1" s="981"/>
      <c r="AW1" s="981"/>
      <c r="AX1" s="981"/>
      <c r="AY1" s="981"/>
      <c r="AZ1" s="981"/>
      <c r="BA1" s="103"/>
    </row>
    <row r="2" spans="1:59" s="67" customFormat="1" ht="14.25" customHeight="1" thickBot="1" x14ac:dyDescent="0.35">
      <c r="A2" s="982" t="s">
        <v>334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  <c r="AK2" s="982"/>
      <c r="AL2" s="982"/>
      <c r="AM2" s="982"/>
      <c r="AN2" s="982"/>
      <c r="AO2" s="982"/>
      <c r="AP2" s="982"/>
      <c r="AQ2" s="982"/>
      <c r="AR2" s="982"/>
      <c r="AS2" s="982"/>
      <c r="AT2" s="982"/>
      <c r="AU2" s="982"/>
      <c r="AV2" s="982"/>
      <c r="AW2" s="982"/>
      <c r="AX2" s="982"/>
      <c r="AY2" s="982"/>
      <c r="AZ2" s="982"/>
      <c r="BA2" s="103"/>
    </row>
    <row r="3" spans="1:59" s="595" customFormat="1" ht="38.25" customHeight="1" thickBot="1" x14ac:dyDescent="0.3">
      <c r="A3" s="983" t="s">
        <v>0</v>
      </c>
      <c r="B3" s="985" t="s">
        <v>113</v>
      </c>
      <c r="C3" s="986"/>
      <c r="D3" s="953" t="s">
        <v>114</v>
      </c>
      <c r="E3" s="955"/>
      <c r="F3" s="953" t="s">
        <v>115</v>
      </c>
      <c r="G3" s="955"/>
      <c r="H3" s="953" t="s">
        <v>116</v>
      </c>
      <c r="I3" s="955"/>
      <c r="J3" s="953" t="s">
        <v>117</v>
      </c>
      <c r="K3" s="955"/>
      <c r="L3" s="953" t="s">
        <v>118</v>
      </c>
      <c r="M3" s="955"/>
      <c r="N3" s="953" t="s">
        <v>218</v>
      </c>
      <c r="O3" s="955"/>
      <c r="P3" s="953" t="s">
        <v>119</v>
      </c>
      <c r="Q3" s="955"/>
      <c r="R3" s="954" t="s">
        <v>120</v>
      </c>
      <c r="S3" s="955"/>
      <c r="T3" s="954" t="s">
        <v>121</v>
      </c>
      <c r="U3" s="955"/>
      <c r="V3" s="961" t="s">
        <v>122</v>
      </c>
      <c r="W3" s="959"/>
      <c r="X3" s="954" t="s">
        <v>123</v>
      </c>
      <c r="Y3" s="955"/>
      <c r="Z3" s="913" t="s">
        <v>223</v>
      </c>
      <c r="AA3" s="914"/>
      <c r="AB3" s="954" t="s">
        <v>124</v>
      </c>
      <c r="AC3" s="955"/>
      <c r="AD3" s="954" t="s">
        <v>125</v>
      </c>
      <c r="AE3" s="955"/>
      <c r="AF3" s="951" t="s">
        <v>126</v>
      </c>
      <c r="AG3" s="952"/>
      <c r="AH3" s="954" t="s">
        <v>127</v>
      </c>
      <c r="AI3" s="955"/>
      <c r="AJ3" s="954" t="s">
        <v>128</v>
      </c>
      <c r="AK3" s="955"/>
      <c r="AL3" s="953" t="s">
        <v>213</v>
      </c>
      <c r="AM3" s="953"/>
      <c r="AN3" s="954" t="s">
        <v>130</v>
      </c>
      <c r="AO3" s="953"/>
      <c r="AP3" s="911" t="s">
        <v>131</v>
      </c>
      <c r="AQ3" s="912"/>
      <c r="AR3" s="961" t="s">
        <v>132</v>
      </c>
      <c r="AS3" s="958"/>
      <c r="AT3" s="961" t="s">
        <v>133</v>
      </c>
      <c r="AU3" s="958"/>
      <c r="AV3" s="911" t="s">
        <v>1</v>
      </c>
      <c r="AW3" s="912"/>
      <c r="AX3" s="974" t="s">
        <v>134</v>
      </c>
      <c r="AY3" s="971"/>
      <c r="AZ3" s="987" t="s">
        <v>2</v>
      </c>
      <c r="BA3" s="988"/>
    </row>
    <row r="4" spans="1:59" s="323" customFormat="1" ht="15" customHeight="1" thickBot="1" x14ac:dyDescent="0.3">
      <c r="A4" s="984"/>
      <c r="B4" s="320" t="s">
        <v>325</v>
      </c>
      <c r="C4" s="320" t="s">
        <v>388</v>
      </c>
      <c r="D4" s="320" t="s">
        <v>325</v>
      </c>
      <c r="E4" s="320" t="s">
        <v>388</v>
      </c>
      <c r="F4" s="320" t="s">
        <v>325</v>
      </c>
      <c r="G4" s="320" t="s">
        <v>388</v>
      </c>
      <c r="H4" s="320" t="s">
        <v>325</v>
      </c>
      <c r="I4" s="320" t="s">
        <v>388</v>
      </c>
      <c r="J4" s="320" t="s">
        <v>325</v>
      </c>
      <c r="K4" s="320" t="s">
        <v>388</v>
      </c>
      <c r="L4" s="320" t="s">
        <v>325</v>
      </c>
      <c r="M4" s="320" t="s">
        <v>388</v>
      </c>
      <c r="N4" s="320" t="s">
        <v>325</v>
      </c>
      <c r="O4" s="320" t="s">
        <v>388</v>
      </c>
      <c r="P4" s="320" t="s">
        <v>325</v>
      </c>
      <c r="Q4" s="320" t="s">
        <v>388</v>
      </c>
      <c r="R4" s="320" t="s">
        <v>325</v>
      </c>
      <c r="S4" s="320" t="s">
        <v>388</v>
      </c>
      <c r="T4" s="320" t="s">
        <v>325</v>
      </c>
      <c r="U4" s="320" t="s">
        <v>388</v>
      </c>
      <c r="V4" s="320" t="s">
        <v>325</v>
      </c>
      <c r="W4" s="320" t="s">
        <v>388</v>
      </c>
      <c r="X4" s="320" t="s">
        <v>325</v>
      </c>
      <c r="Y4" s="320" t="s">
        <v>388</v>
      </c>
      <c r="Z4" s="320" t="s">
        <v>325</v>
      </c>
      <c r="AA4" s="320" t="s">
        <v>388</v>
      </c>
      <c r="AB4" s="320" t="s">
        <v>325</v>
      </c>
      <c r="AC4" s="320" t="s">
        <v>388</v>
      </c>
      <c r="AD4" s="320" t="s">
        <v>325</v>
      </c>
      <c r="AE4" s="320" t="s">
        <v>388</v>
      </c>
      <c r="AF4" s="320" t="s">
        <v>325</v>
      </c>
      <c r="AG4" s="320" t="s">
        <v>388</v>
      </c>
      <c r="AH4" s="320" t="s">
        <v>325</v>
      </c>
      <c r="AI4" s="320" t="s">
        <v>388</v>
      </c>
      <c r="AJ4" s="320" t="s">
        <v>325</v>
      </c>
      <c r="AK4" s="320" t="s">
        <v>388</v>
      </c>
      <c r="AL4" s="320" t="s">
        <v>325</v>
      </c>
      <c r="AM4" s="320" t="s">
        <v>388</v>
      </c>
      <c r="AN4" s="320" t="s">
        <v>325</v>
      </c>
      <c r="AO4" s="320" t="s">
        <v>388</v>
      </c>
      <c r="AP4" s="320" t="s">
        <v>325</v>
      </c>
      <c r="AQ4" s="320" t="s">
        <v>388</v>
      </c>
      <c r="AR4" s="320" t="s">
        <v>325</v>
      </c>
      <c r="AS4" s="320" t="s">
        <v>388</v>
      </c>
      <c r="AT4" s="320" t="s">
        <v>325</v>
      </c>
      <c r="AU4" s="320" t="s">
        <v>388</v>
      </c>
      <c r="AV4" s="320" t="s">
        <v>325</v>
      </c>
      <c r="AW4" s="320" t="s">
        <v>388</v>
      </c>
      <c r="AX4" s="320" t="s">
        <v>325</v>
      </c>
      <c r="AY4" s="320" t="s">
        <v>388</v>
      </c>
      <c r="AZ4" s="320" t="s">
        <v>325</v>
      </c>
      <c r="BA4" s="320" t="s">
        <v>388</v>
      </c>
    </row>
    <row r="5" spans="1:59" s="71" customFormat="1" ht="15" customHeight="1" x14ac:dyDescent="0.3">
      <c r="A5" s="138" t="s">
        <v>30</v>
      </c>
      <c r="B5" s="139"/>
      <c r="C5" s="141"/>
      <c r="D5" s="142"/>
      <c r="E5" s="141"/>
      <c r="F5" s="144"/>
      <c r="G5" s="143"/>
      <c r="H5" s="144"/>
      <c r="I5" s="143"/>
      <c r="J5" s="144"/>
      <c r="K5" s="143"/>
      <c r="L5" s="144"/>
      <c r="M5" s="143"/>
      <c r="N5" s="144"/>
      <c r="O5" s="143"/>
      <c r="P5" s="142"/>
      <c r="Q5" s="141"/>
      <c r="R5" s="139"/>
      <c r="S5" s="141"/>
      <c r="T5" s="139"/>
      <c r="U5" s="141"/>
      <c r="V5" s="147"/>
      <c r="W5" s="143"/>
      <c r="X5" s="139"/>
      <c r="Y5" s="141"/>
      <c r="Z5" s="139"/>
      <c r="AA5" s="141"/>
      <c r="AB5" s="139"/>
      <c r="AC5" s="141"/>
      <c r="AD5" s="139"/>
      <c r="AE5" s="141"/>
      <c r="AF5" s="139"/>
      <c r="AG5" s="141"/>
      <c r="AH5" s="139"/>
      <c r="AI5" s="141"/>
      <c r="AJ5" s="139"/>
      <c r="AK5" s="141"/>
      <c r="AL5" s="502"/>
      <c r="AM5" s="650"/>
      <c r="AN5" s="162"/>
      <c r="AO5" s="164"/>
      <c r="AP5" s="144"/>
      <c r="AQ5" s="145"/>
      <c r="AR5" s="147"/>
      <c r="AS5" s="145"/>
      <c r="AT5" s="147"/>
      <c r="AU5" s="145"/>
      <c r="AV5" s="147"/>
      <c r="AW5" s="145"/>
      <c r="AX5" s="147"/>
      <c r="AY5" s="145"/>
      <c r="AZ5" s="147"/>
      <c r="BA5" s="149"/>
    </row>
    <row r="6" spans="1:59" s="71" customFormat="1" ht="14.25" x14ac:dyDescent="0.3">
      <c r="A6" s="99" t="s">
        <v>31</v>
      </c>
      <c r="B6" s="104">
        <v>131303</v>
      </c>
      <c r="C6" s="72">
        <v>58013</v>
      </c>
      <c r="D6" s="105">
        <v>31184</v>
      </c>
      <c r="E6" s="75">
        <v>6069</v>
      </c>
      <c r="F6" s="106">
        <v>28190</v>
      </c>
      <c r="G6" s="79">
        <v>8942</v>
      </c>
      <c r="H6" s="106">
        <v>185651</v>
      </c>
      <c r="I6" s="79">
        <v>141323</v>
      </c>
      <c r="J6" s="106">
        <v>33990</v>
      </c>
      <c r="K6" s="79">
        <v>17385</v>
      </c>
      <c r="L6" s="106">
        <v>55531</v>
      </c>
      <c r="M6" s="106">
        <v>32023</v>
      </c>
      <c r="N6" s="106">
        <v>29141</v>
      </c>
      <c r="O6" s="500">
        <v>13693</v>
      </c>
      <c r="P6" s="105">
        <v>20437</v>
      </c>
      <c r="Q6" s="75">
        <v>7152</v>
      </c>
      <c r="R6" s="73">
        <v>55030</v>
      </c>
      <c r="S6" s="75"/>
      <c r="T6" s="73">
        <v>25494</v>
      </c>
      <c r="U6" s="75">
        <v>8922</v>
      </c>
      <c r="V6" s="77">
        <v>466139</v>
      </c>
      <c r="W6" s="79">
        <v>286966</v>
      </c>
      <c r="X6" s="73">
        <v>480321</v>
      </c>
      <c r="Y6" s="75">
        <v>245785</v>
      </c>
      <c r="Z6" s="80">
        <v>17634</v>
      </c>
      <c r="AA6" s="81">
        <v>8463</v>
      </c>
      <c r="AB6" s="73">
        <v>90485</v>
      </c>
      <c r="AC6" s="75">
        <v>52188</v>
      </c>
      <c r="AD6" s="73">
        <v>183593</v>
      </c>
      <c r="AE6" s="75">
        <v>110513</v>
      </c>
      <c r="AF6" s="73">
        <v>280462</v>
      </c>
      <c r="AG6" s="75">
        <v>117973</v>
      </c>
      <c r="AH6" s="73">
        <v>157251</v>
      </c>
      <c r="AI6" s="75">
        <v>65638</v>
      </c>
      <c r="AJ6" s="73">
        <v>31054</v>
      </c>
      <c r="AK6" s="75">
        <v>16756</v>
      </c>
      <c r="AL6" s="504"/>
      <c r="AM6" s="76"/>
      <c r="AN6" s="166">
        <v>472441</v>
      </c>
      <c r="AO6" s="651">
        <v>229554</v>
      </c>
      <c r="AP6" s="106">
        <v>40566</v>
      </c>
      <c r="AQ6" s="78">
        <v>29155</v>
      </c>
      <c r="AR6" s="94">
        <v>56736</v>
      </c>
      <c r="AS6" s="95"/>
      <c r="AT6" s="77">
        <v>165731</v>
      </c>
      <c r="AU6" s="78">
        <v>78158</v>
      </c>
      <c r="AV6" s="97">
        <f>SUM(B6+D6+F6+H6+J6+L6+N6+P6+R6+T6+V6+X6+Z6+AB6+AD6+AF6+AH6+AJ6+AL6+AN6+AP6+AR6+AT6)</f>
        <v>3038364</v>
      </c>
      <c r="AW6" s="107">
        <f>SUM(C6+E6+G6+I6+K6+M6+O6+Q6+S6+U6+W6+Y6+AA6+AC6+AE6+AG6+AI6+AK6+AM6+AO6+AQ6+AS6+AU6)</f>
        <v>1534671</v>
      </c>
      <c r="AX6" s="94">
        <v>2985492.47</v>
      </c>
      <c r="AY6" s="95">
        <v>1762068</v>
      </c>
      <c r="AZ6" s="97">
        <f t="shared" ref="AZ6:BA8" si="0">AV6+AX6</f>
        <v>6023856.4700000007</v>
      </c>
      <c r="BA6" s="109">
        <f t="shared" si="0"/>
        <v>3296739</v>
      </c>
    </row>
    <row r="7" spans="1:59" s="71" customFormat="1" ht="14.25" x14ac:dyDescent="0.3">
      <c r="A7" s="99" t="s">
        <v>32</v>
      </c>
      <c r="B7" s="104">
        <v>95288</v>
      </c>
      <c r="C7" s="72">
        <v>52426</v>
      </c>
      <c r="D7" s="105">
        <v>2204</v>
      </c>
      <c r="E7" s="75">
        <v>459</v>
      </c>
      <c r="F7" s="106">
        <v>14083</v>
      </c>
      <c r="G7" s="79">
        <v>19375</v>
      </c>
      <c r="H7" s="106">
        <v>107700</v>
      </c>
      <c r="I7" s="79">
        <v>112320</v>
      </c>
      <c r="J7" s="106">
        <v>3202</v>
      </c>
      <c r="K7" s="79">
        <v>5755</v>
      </c>
      <c r="L7" s="106">
        <v>19002</v>
      </c>
      <c r="M7" s="106">
        <v>11425</v>
      </c>
      <c r="N7" s="106">
        <v>3577</v>
      </c>
      <c r="O7" s="500">
        <v>4661</v>
      </c>
      <c r="P7" s="105">
        <v>165</v>
      </c>
      <c r="Q7" s="75">
        <v>275</v>
      </c>
      <c r="R7" s="73">
        <v>47392</v>
      </c>
      <c r="S7" s="75"/>
      <c r="T7" s="73">
        <v>4117</v>
      </c>
      <c r="U7" s="75">
        <v>3305</v>
      </c>
      <c r="V7" s="77">
        <v>570998</v>
      </c>
      <c r="W7" s="79">
        <v>490521</v>
      </c>
      <c r="X7" s="73">
        <v>270390</v>
      </c>
      <c r="Y7" s="75">
        <v>229307</v>
      </c>
      <c r="Z7" s="80">
        <v>21419</v>
      </c>
      <c r="AA7" s="81">
        <v>21258</v>
      </c>
      <c r="AB7" s="73">
        <v>10043</v>
      </c>
      <c r="AC7" s="75">
        <v>18091</v>
      </c>
      <c r="AD7" s="73">
        <v>132320</v>
      </c>
      <c r="AE7" s="75">
        <v>131066</v>
      </c>
      <c r="AF7" s="73">
        <v>67324</v>
      </c>
      <c r="AG7" s="75">
        <v>71380</v>
      </c>
      <c r="AH7" s="73">
        <v>16832</v>
      </c>
      <c r="AI7" s="75">
        <v>26645</v>
      </c>
      <c r="AJ7" s="73">
        <v>70916</v>
      </c>
      <c r="AK7" s="75">
        <v>42441</v>
      </c>
      <c r="AL7" s="504"/>
      <c r="AM7" s="76"/>
      <c r="AN7" s="166">
        <v>792555</v>
      </c>
      <c r="AO7" s="651">
        <v>458281</v>
      </c>
      <c r="AP7" s="106">
        <v>9797</v>
      </c>
      <c r="AQ7" s="78">
        <v>9030</v>
      </c>
      <c r="AR7" s="94">
        <v>28069</v>
      </c>
      <c r="AS7" s="95"/>
      <c r="AT7" s="77">
        <v>50693</v>
      </c>
      <c r="AU7" s="78">
        <v>41145</v>
      </c>
      <c r="AV7" s="97">
        <f>SUM(B7+D7+F7+H7+J7+L7+N7+P7+R7+T7+V7+X7+Z7+AB7+AD7+AF7+AH7+AJ7+AL7+AN7+AP7+AR7+AT7)</f>
        <v>2338086</v>
      </c>
      <c r="AW7" s="107">
        <f t="shared" ref="AW7:AW31" si="1">SUM(C7+E7+G7+I7+K7+M7+O7+Q7+S7+U7+W7+Y7+AA7+AC7+AE7+AG7+AI7+AK7+AM7+AO7+AQ7+AS7+AU7)</f>
        <v>1749166</v>
      </c>
      <c r="AX7" s="94">
        <v>12316957.529999999</v>
      </c>
      <c r="AY7" s="95">
        <v>11393648</v>
      </c>
      <c r="AZ7" s="97">
        <f t="shared" si="0"/>
        <v>14655043.529999999</v>
      </c>
      <c r="BA7" s="109">
        <f t="shared" si="0"/>
        <v>13142814</v>
      </c>
    </row>
    <row r="8" spans="1:59" s="71" customFormat="1" ht="14.25" x14ac:dyDescent="0.3">
      <c r="A8" s="99" t="s">
        <v>33</v>
      </c>
      <c r="B8" s="104">
        <v>1476</v>
      </c>
      <c r="C8" s="72">
        <v>2083</v>
      </c>
      <c r="D8" s="105">
        <v>1</v>
      </c>
      <c r="E8" s="75">
        <v>2</v>
      </c>
      <c r="F8" s="106">
        <v>3913</v>
      </c>
      <c r="G8" s="79">
        <v>4376</v>
      </c>
      <c r="H8" s="106">
        <v>1640</v>
      </c>
      <c r="I8" s="79">
        <v>2796</v>
      </c>
      <c r="J8" s="106"/>
      <c r="K8" s="79"/>
      <c r="L8" s="106">
        <v>2528</v>
      </c>
      <c r="M8" s="106">
        <v>3471</v>
      </c>
      <c r="N8" s="106">
        <v>2</v>
      </c>
      <c r="O8" s="500">
        <v>7</v>
      </c>
      <c r="P8" s="105">
        <v>157</v>
      </c>
      <c r="Q8" s="75">
        <v>228</v>
      </c>
      <c r="R8" s="73">
        <v>765</v>
      </c>
      <c r="S8" s="75"/>
      <c r="T8" s="73">
        <v>47</v>
      </c>
      <c r="U8" s="75">
        <v>54</v>
      </c>
      <c r="V8" s="77">
        <v>47304</v>
      </c>
      <c r="W8" s="79">
        <v>69913</v>
      </c>
      <c r="X8" s="73">
        <v>29311</v>
      </c>
      <c r="Y8" s="75">
        <v>38204</v>
      </c>
      <c r="Z8" s="80">
        <v>199</v>
      </c>
      <c r="AA8" s="81">
        <v>314</v>
      </c>
      <c r="AB8" s="73">
        <v>49</v>
      </c>
      <c r="AC8" s="75">
        <v>152</v>
      </c>
      <c r="AD8" s="73">
        <v>3252</v>
      </c>
      <c r="AE8" s="75">
        <v>5131</v>
      </c>
      <c r="AF8" s="73">
        <v>2093</v>
      </c>
      <c r="AG8" s="75">
        <v>5068</v>
      </c>
      <c r="AH8" s="73">
        <v>3109</v>
      </c>
      <c r="AI8" s="75">
        <v>4356</v>
      </c>
      <c r="AJ8" s="73">
        <v>636</v>
      </c>
      <c r="AK8" s="75">
        <v>733</v>
      </c>
      <c r="AL8" s="504"/>
      <c r="AM8" s="76"/>
      <c r="AN8" s="166">
        <v>39090</v>
      </c>
      <c r="AO8" s="651">
        <v>53564</v>
      </c>
      <c r="AP8" s="106">
        <v>219</v>
      </c>
      <c r="AQ8" s="78">
        <v>417</v>
      </c>
      <c r="AR8" s="94">
        <v>1730</v>
      </c>
      <c r="AS8" s="95"/>
      <c r="AT8" s="77">
        <v>1891</v>
      </c>
      <c r="AU8" s="78">
        <v>4235</v>
      </c>
      <c r="AV8" s="97">
        <f>SUM(B8+D8+F8+H8+J8+L8+N8+P8+R8+T8+V8+X8+Z8+AB8+AD8+AF8+AH8+AJ8+AL8+AN8+AP8+AR8+AT8)</f>
        <v>139412</v>
      </c>
      <c r="AW8" s="107">
        <f t="shared" si="1"/>
        <v>195104</v>
      </c>
      <c r="AX8" s="94">
        <v>1215501.83</v>
      </c>
      <c r="AY8" s="95">
        <v>1362117</v>
      </c>
      <c r="AZ8" s="97">
        <f t="shared" si="0"/>
        <v>1354913.83</v>
      </c>
      <c r="BA8" s="109">
        <f t="shared" si="0"/>
        <v>1557221</v>
      </c>
    </row>
    <row r="9" spans="1:59" s="71" customFormat="1" ht="14.25" x14ac:dyDescent="0.3">
      <c r="A9" s="99" t="s">
        <v>34</v>
      </c>
      <c r="B9" s="104"/>
      <c r="C9" s="72"/>
      <c r="D9" s="105"/>
      <c r="E9" s="75"/>
      <c r="F9" s="106"/>
      <c r="G9" s="79"/>
      <c r="H9" s="106"/>
      <c r="I9" s="79"/>
      <c r="J9" s="106"/>
      <c r="K9" s="79"/>
      <c r="L9" s="106"/>
      <c r="M9" s="106"/>
      <c r="N9" s="106"/>
      <c r="O9" s="500"/>
      <c r="P9" s="105"/>
      <c r="Q9" s="75"/>
      <c r="R9" s="73"/>
      <c r="S9" s="75"/>
      <c r="T9" s="73"/>
      <c r="U9" s="75"/>
      <c r="V9" s="77"/>
      <c r="W9" s="79"/>
      <c r="X9" s="73"/>
      <c r="Y9" s="75"/>
      <c r="Z9" s="80"/>
      <c r="AA9" s="81"/>
      <c r="AB9" s="73"/>
      <c r="AC9" s="75"/>
      <c r="AD9" s="73"/>
      <c r="AE9" s="75"/>
      <c r="AF9" s="73"/>
      <c r="AG9" s="75"/>
      <c r="AH9" s="73"/>
      <c r="AI9" s="75"/>
      <c r="AJ9" s="73"/>
      <c r="AK9" s="75"/>
      <c r="AL9" s="504"/>
      <c r="AM9" s="76"/>
      <c r="AN9" s="77"/>
      <c r="AO9" s="651"/>
      <c r="AP9" s="106"/>
      <c r="AQ9" s="78"/>
      <c r="AR9" s="94"/>
      <c r="AS9" s="95"/>
      <c r="AT9" s="77"/>
      <c r="AU9" s="78"/>
      <c r="AV9" s="97"/>
      <c r="AW9" s="107">
        <f t="shared" si="1"/>
        <v>0</v>
      </c>
      <c r="AX9" s="94"/>
      <c r="AY9" s="95"/>
      <c r="AZ9" s="97"/>
      <c r="BA9" s="109"/>
    </row>
    <row r="10" spans="1:59" s="71" customFormat="1" ht="14.25" x14ac:dyDescent="0.3">
      <c r="A10" s="99" t="s">
        <v>35</v>
      </c>
      <c r="B10" s="111">
        <f>3162+11452</f>
        <v>14614</v>
      </c>
      <c r="C10" s="72">
        <f>3700+14414</f>
        <v>18114</v>
      </c>
      <c r="D10" s="112">
        <v>1064</v>
      </c>
      <c r="E10" s="75">
        <v>3007</v>
      </c>
      <c r="F10" s="107">
        <v>5705</v>
      </c>
      <c r="G10" s="79">
        <v>4906</v>
      </c>
      <c r="H10" s="107">
        <v>31215</v>
      </c>
      <c r="I10" s="79">
        <v>26718</v>
      </c>
      <c r="J10" s="107">
        <v>12104</v>
      </c>
      <c r="K10" s="79">
        <v>15930</v>
      </c>
      <c r="L10" s="107">
        <v>803</v>
      </c>
      <c r="M10" s="107">
        <v>3722</v>
      </c>
      <c r="N10" s="107">
        <v>536</v>
      </c>
      <c r="O10" s="500">
        <v>221</v>
      </c>
      <c r="P10" s="112">
        <v>1033</v>
      </c>
      <c r="Q10" s="75">
        <v>1594</v>
      </c>
      <c r="R10" s="84"/>
      <c r="S10" s="75"/>
      <c r="T10" s="84">
        <v>1018</v>
      </c>
      <c r="U10" s="75">
        <v>2722</v>
      </c>
      <c r="V10" s="77">
        <v>3833</v>
      </c>
      <c r="W10" s="79">
        <v>12300</v>
      </c>
      <c r="X10" s="84">
        <v>30035</v>
      </c>
      <c r="Y10" s="75">
        <v>37320</v>
      </c>
      <c r="Z10" s="80">
        <v>14088</v>
      </c>
      <c r="AA10" s="81">
        <v>14558</v>
      </c>
      <c r="AB10" s="84">
        <v>6755</v>
      </c>
      <c r="AC10" s="75">
        <v>8971</v>
      </c>
      <c r="AD10" s="113">
        <v>22861</v>
      </c>
      <c r="AE10" s="75">
        <v>30324</v>
      </c>
      <c r="AF10" s="84">
        <v>17992</v>
      </c>
      <c r="AG10" s="75">
        <v>21536</v>
      </c>
      <c r="AH10" s="84">
        <v>26130</v>
      </c>
      <c r="AI10" s="75">
        <v>32745</v>
      </c>
      <c r="AJ10" s="84">
        <v>38061</v>
      </c>
      <c r="AK10" s="75">
        <v>40463</v>
      </c>
      <c r="AL10" s="504"/>
      <c r="AM10" s="76"/>
      <c r="AN10" s="166">
        <v>87768</v>
      </c>
      <c r="AO10" s="651">
        <v>86064</v>
      </c>
      <c r="AP10" s="106">
        <v>3385</v>
      </c>
      <c r="AQ10" s="78">
        <v>3692</v>
      </c>
      <c r="AR10" s="94">
        <v>6154</v>
      </c>
      <c r="AS10" s="95"/>
      <c r="AT10" s="97">
        <f>20144+28310</f>
        <v>48454</v>
      </c>
      <c r="AU10" s="78">
        <f>25652+30338</f>
        <v>55990</v>
      </c>
      <c r="AV10" s="97">
        <f t="shared" ref="AV10:AV15" si="2">SUM(B10+D10+F10+H10+J10+L10+N10+P10+R10+T10+V10+X10+Z10+AB10+AD10+AF10+AH10+AJ10+AL10+AN10+AP10+AR10+AT10)</f>
        <v>373608</v>
      </c>
      <c r="AW10" s="107">
        <f t="shared" si="1"/>
        <v>420897</v>
      </c>
      <c r="AX10" s="97"/>
      <c r="AY10" s="95"/>
      <c r="AZ10" s="97">
        <f t="shared" ref="AZ10:AZ22" si="3">AV10+AX10</f>
        <v>373608</v>
      </c>
      <c r="BA10" s="109">
        <f t="shared" ref="BA10:BA22" si="4">AW10+AY10</f>
        <v>420897</v>
      </c>
    </row>
    <row r="11" spans="1:59" s="71" customFormat="1" ht="14.25" x14ac:dyDescent="0.3">
      <c r="A11" s="99" t="s">
        <v>36</v>
      </c>
      <c r="B11" s="104">
        <v>318566</v>
      </c>
      <c r="C11" s="72">
        <v>294611</v>
      </c>
      <c r="D11" s="105">
        <v>13231</v>
      </c>
      <c r="E11" s="75">
        <v>16583</v>
      </c>
      <c r="F11" s="106">
        <v>46825</v>
      </c>
      <c r="G11" s="79">
        <v>40312</v>
      </c>
      <c r="H11" s="106">
        <v>317189</v>
      </c>
      <c r="I11" s="79">
        <v>621794</v>
      </c>
      <c r="J11" s="106">
        <v>17162</v>
      </c>
      <c r="K11" s="79">
        <v>22603</v>
      </c>
      <c r="L11" s="106">
        <v>102342</v>
      </c>
      <c r="M11" s="106">
        <v>105193</v>
      </c>
      <c r="N11" s="106">
        <v>14406</v>
      </c>
      <c r="O11" s="500">
        <v>16289</v>
      </c>
      <c r="P11" s="105">
        <v>10598</v>
      </c>
      <c r="Q11" s="75">
        <v>17733</v>
      </c>
      <c r="R11" s="73">
        <v>65352</v>
      </c>
      <c r="S11" s="75"/>
      <c r="T11" s="73">
        <v>13373</v>
      </c>
      <c r="U11" s="75">
        <v>16270</v>
      </c>
      <c r="V11" s="77">
        <v>654453</v>
      </c>
      <c r="W11" s="79">
        <v>645474</v>
      </c>
      <c r="X11" s="73">
        <v>1489016</v>
      </c>
      <c r="Y11" s="75">
        <v>1727159</v>
      </c>
      <c r="Z11" s="73">
        <v>22309</v>
      </c>
      <c r="AA11" s="75">
        <v>38371</v>
      </c>
      <c r="AB11" s="73">
        <v>260551</v>
      </c>
      <c r="AC11" s="75">
        <v>215772</v>
      </c>
      <c r="AD11" s="73">
        <v>105229</v>
      </c>
      <c r="AE11" s="75">
        <v>154143</v>
      </c>
      <c r="AF11" s="73">
        <v>349485</v>
      </c>
      <c r="AG11" s="75">
        <v>412083</v>
      </c>
      <c r="AH11" s="73">
        <v>84496</v>
      </c>
      <c r="AI11" s="75">
        <v>86563</v>
      </c>
      <c r="AJ11" s="73">
        <v>95106</v>
      </c>
      <c r="AK11" s="75">
        <v>72893</v>
      </c>
      <c r="AL11" s="504"/>
      <c r="AM11" s="76"/>
      <c r="AN11" s="166">
        <v>509238</v>
      </c>
      <c r="AO11" s="651">
        <v>634291</v>
      </c>
      <c r="AP11" s="106">
        <v>9833</v>
      </c>
      <c r="AQ11" s="78">
        <v>10865</v>
      </c>
      <c r="AR11" s="94">
        <v>28160</v>
      </c>
      <c r="AS11" s="95"/>
      <c r="AT11" s="77">
        <v>117142</v>
      </c>
      <c r="AU11" s="78">
        <v>174346</v>
      </c>
      <c r="AV11" s="97">
        <f t="shared" si="2"/>
        <v>4644062</v>
      </c>
      <c r="AW11" s="107">
        <f t="shared" si="1"/>
        <v>5323348</v>
      </c>
      <c r="AX11" s="94">
        <v>6785225.4699999997</v>
      </c>
      <c r="AY11" s="95">
        <v>2762768</v>
      </c>
      <c r="AZ11" s="97">
        <f t="shared" si="3"/>
        <v>11429287.469999999</v>
      </c>
      <c r="BA11" s="109">
        <f t="shared" si="4"/>
        <v>8086116</v>
      </c>
      <c r="BF11" s="89"/>
      <c r="BG11" s="89"/>
    </row>
    <row r="12" spans="1:59" s="71" customFormat="1" ht="14.25" x14ac:dyDescent="0.3">
      <c r="A12" s="99" t="s">
        <v>37</v>
      </c>
      <c r="B12" s="104"/>
      <c r="C12" s="72"/>
      <c r="D12" s="105"/>
      <c r="E12" s="75"/>
      <c r="F12" s="106"/>
      <c r="G12" s="79"/>
      <c r="H12" s="106"/>
      <c r="I12" s="79"/>
      <c r="J12" s="106"/>
      <c r="K12" s="79"/>
      <c r="L12" s="106"/>
      <c r="M12" s="106"/>
      <c r="N12" s="106"/>
      <c r="O12" s="500"/>
      <c r="P12" s="105"/>
      <c r="Q12" s="75"/>
      <c r="R12" s="73"/>
      <c r="S12" s="75"/>
      <c r="T12" s="73"/>
      <c r="U12" s="75"/>
      <c r="V12" s="77">
        <v>171977</v>
      </c>
      <c r="W12" s="79">
        <v>181952</v>
      </c>
      <c r="X12" s="73"/>
      <c r="Y12" s="75"/>
      <c r="Z12" s="73"/>
      <c r="AA12" s="75"/>
      <c r="AB12" s="73"/>
      <c r="AC12" s="75"/>
      <c r="AD12" s="73">
        <v>9532</v>
      </c>
      <c r="AE12" s="75">
        <v>20225</v>
      </c>
      <c r="AF12" s="73"/>
      <c r="AG12" s="75"/>
      <c r="AH12" s="73"/>
      <c r="AI12" s="75"/>
      <c r="AJ12" s="73"/>
      <c r="AK12" s="75"/>
      <c r="AL12" s="504"/>
      <c r="AM12" s="76"/>
      <c r="AN12" s="166">
        <v>235320</v>
      </c>
      <c r="AO12" s="651">
        <v>256034</v>
      </c>
      <c r="AP12" s="106"/>
      <c r="AQ12" s="78"/>
      <c r="AR12" s="94"/>
      <c r="AS12" s="95"/>
      <c r="AT12" s="77"/>
      <c r="AU12" s="78"/>
      <c r="AV12" s="97">
        <f t="shared" si="2"/>
        <v>416829</v>
      </c>
      <c r="AW12" s="107">
        <f t="shared" si="1"/>
        <v>458211</v>
      </c>
      <c r="AX12" s="94"/>
      <c r="AY12" s="95"/>
      <c r="AZ12" s="97">
        <f t="shared" si="3"/>
        <v>416829</v>
      </c>
      <c r="BA12" s="109">
        <f t="shared" si="4"/>
        <v>458211</v>
      </c>
    </row>
    <row r="13" spans="1:59" s="71" customFormat="1" ht="14.25" x14ac:dyDescent="0.3">
      <c r="A13" s="99" t="s">
        <v>38</v>
      </c>
      <c r="B13" s="104"/>
      <c r="C13" s="72"/>
      <c r="D13" s="105">
        <v>131</v>
      </c>
      <c r="E13" s="75">
        <v>119</v>
      </c>
      <c r="F13" s="106"/>
      <c r="G13" s="79"/>
      <c r="H13" s="106"/>
      <c r="I13" s="79"/>
      <c r="J13" s="106"/>
      <c r="K13" s="79"/>
      <c r="L13" s="106">
        <v>27992</v>
      </c>
      <c r="M13" s="106">
        <v>86601</v>
      </c>
      <c r="N13" s="106"/>
      <c r="O13" s="500"/>
      <c r="P13" s="105">
        <v>517</v>
      </c>
      <c r="Q13" s="75">
        <v>3997</v>
      </c>
      <c r="R13" s="73"/>
      <c r="S13" s="75"/>
      <c r="T13" s="73">
        <v>595</v>
      </c>
      <c r="U13" s="75">
        <v>762</v>
      </c>
      <c r="V13" s="77">
        <v>327265</v>
      </c>
      <c r="W13" s="79">
        <v>941216</v>
      </c>
      <c r="X13" s="73"/>
      <c r="Y13" s="75"/>
      <c r="Z13" s="73">
        <v>4070</v>
      </c>
      <c r="AA13" s="75">
        <v>9222</v>
      </c>
      <c r="AB13" s="73"/>
      <c r="AC13" s="75"/>
      <c r="AD13" s="73"/>
      <c r="AE13" s="75"/>
      <c r="AF13" s="73"/>
      <c r="AG13" s="75"/>
      <c r="AH13" s="73"/>
      <c r="AI13" s="75"/>
      <c r="AJ13" s="73"/>
      <c r="AK13" s="75"/>
      <c r="AL13" s="504"/>
      <c r="AM13" s="76"/>
      <c r="AN13" s="166">
        <v>317989</v>
      </c>
      <c r="AO13" s="651">
        <v>393455</v>
      </c>
      <c r="AP13" s="106">
        <v>39</v>
      </c>
      <c r="AQ13" s="78">
        <v>20</v>
      </c>
      <c r="AR13" s="94"/>
      <c r="AS13" s="95"/>
      <c r="AT13" s="77"/>
      <c r="AU13" s="78"/>
      <c r="AV13" s="97">
        <f t="shared" si="2"/>
        <v>678598</v>
      </c>
      <c r="AW13" s="107">
        <f t="shared" si="1"/>
        <v>1435392</v>
      </c>
      <c r="AX13" s="94"/>
      <c r="AY13" s="95">
        <v>5547740</v>
      </c>
      <c r="AZ13" s="97">
        <f t="shared" si="3"/>
        <v>678598</v>
      </c>
      <c r="BA13" s="109">
        <f t="shared" si="4"/>
        <v>6983132</v>
      </c>
    </row>
    <row r="14" spans="1:59" s="71" customFormat="1" ht="14.25" x14ac:dyDescent="0.3">
      <c r="A14" s="99" t="s">
        <v>39</v>
      </c>
      <c r="B14" s="111">
        <v>845</v>
      </c>
      <c r="C14" s="72">
        <v>490</v>
      </c>
      <c r="D14" s="112">
        <v>861</v>
      </c>
      <c r="E14" s="75">
        <v>112</v>
      </c>
      <c r="F14" s="107">
        <v>86</v>
      </c>
      <c r="G14" s="79">
        <v>4</v>
      </c>
      <c r="H14" s="107">
        <v>1210</v>
      </c>
      <c r="I14" s="79">
        <v>2029</v>
      </c>
      <c r="J14" s="107">
        <v>691</v>
      </c>
      <c r="K14" s="79">
        <v>905</v>
      </c>
      <c r="L14" s="107"/>
      <c r="M14" s="107"/>
      <c r="N14" s="107"/>
      <c r="O14" s="500"/>
      <c r="P14" s="112"/>
      <c r="Q14" s="75"/>
      <c r="R14" s="84"/>
      <c r="S14" s="75"/>
      <c r="T14" s="84"/>
      <c r="U14" s="75"/>
      <c r="V14" s="97"/>
      <c r="W14" s="79"/>
      <c r="X14" s="84">
        <v>604</v>
      </c>
      <c r="Y14" s="75">
        <v>641</v>
      </c>
      <c r="Z14" s="80">
        <v>208</v>
      </c>
      <c r="AA14" s="81">
        <v>65</v>
      </c>
      <c r="AB14" s="84"/>
      <c r="AC14" s="75"/>
      <c r="AD14" s="113">
        <v>168</v>
      </c>
      <c r="AE14" s="75">
        <v>212</v>
      </c>
      <c r="AF14" s="84"/>
      <c r="AG14" s="75"/>
      <c r="AH14" s="84"/>
      <c r="AI14" s="75"/>
      <c r="AJ14" s="84">
        <v>43</v>
      </c>
      <c r="AK14" s="75">
        <v>45</v>
      </c>
      <c r="AL14" s="504"/>
      <c r="AM14" s="76"/>
      <c r="AN14" s="166">
        <v>735</v>
      </c>
      <c r="AO14" s="651">
        <v>786</v>
      </c>
      <c r="AP14" s="106">
        <v>639</v>
      </c>
      <c r="AQ14" s="78">
        <v>441</v>
      </c>
      <c r="AR14" s="94">
        <v>100</v>
      </c>
      <c r="AS14" s="95"/>
      <c r="AT14" s="97"/>
      <c r="AU14" s="78"/>
      <c r="AV14" s="97">
        <f t="shared" si="2"/>
        <v>6190</v>
      </c>
      <c r="AW14" s="107">
        <f t="shared" si="1"/>
        <v>5730</v>
      </c>
      <c r="AX14" s="97">
        <v>483.85</v>
      </c>
      <c r="AY14" s="95"/>
      <c r="AZ14" s="97">
        <f t="shared" si="3"/>
        <v>6673.85</v>
      </c>
      <c r="BA14" s="109">
        <f t="shared" si="4"/>
        <v>5730</v>
      </c>
    </row>
    <row r="15" spans="1:59" s="71" customFormat="1" ht="14.25" x14ac:dyDescent="0.3">
      <c r="A15" s="99" t="s">
        <v>40</v>
      </c>
      <c r="B15" s="104">
        <v>30</v>
      </c>
      <c r="C15" s="72">
        <v>274</v>
      </c>
      <c r="D15" s="105">
        <v>72</v>
      </c>
      <c r="E15" s="75">
        <v>41</v>
      </c>
      <c r="F15" s="106">
        <v>200</v>
      </c>
      <c r="G15" s="79">
        <v>133</v>
      </c>
      <c r="H15" s="106">
        <v>543</v>
      </c>
      <c r="I15" s="79">
        <v>413</v>
      </c>
      <c r="J15" s="106">
        <v>124</v>
      </c>
      <c r="K15" s="79">
        <v>170</v>
      </c>
      <c r="L15" s="106">
        <v>35</v>
      </c>
      <c r="M15" s="106"/>
      <c r="N15" s="106">
        <v>405</v>
      </c>
      <c r="O15" s="500">
        <v>18</v>
      </c>
      <c r="P15" s="105">
        <v>39</v>
      </c>
      <c r="Q15" s="75">
        <v>145</v>
      </c>
      <c r="R15" s="73"/>
      <c r="S15" s="75"/>
      <c r="T15" s="73">
        <v>142</v>
      </c>
      <c r="U15" s="75">
        <v>179</v>
      </c>
      <c r="V15" s="77">
        <v>2578</v>
      </c>
      <c r="W15" s="79">
        <v>2918</v>
      </c>
      <c r="X15" s="73">
        <v>11936</v>
      </c>
      <c r="Y15" s="75">
        <v>8842</v>
      </c>
      <c r="Z15" s="80"/>
      <c r="AA15" s="81"/>
      <c r="AB15" s="73">
        <v>146</v>
      </c>
      <c r="AC15" s="75">
        <v>44</v>
      </c>
      <c r="AD15" s="73">
        <v>50</v>
      </c>
      <c r="AE15" s="75">
        <v>243</v>
      </c>
      <c r="AF15" s="73">
        <v>5546</v>
      </c>
      <c r="AG15" s="75">
        <v>1163</v>
      </c>
      <c r="AH15" s="73">
        <v>552</v>
      </c>
      <c r="AI15" s="75">
        <v>409</v>
      </c>
      <c r="AJ15" s="73">
        <v>95</v>
      </c>
      <c r="AK15" s="75">
        <v>139</v>
      </c>
      <c r="AL15" s="504"/>
      <c r="AM15" s="76"/>
      <c r="AN15" s="166">
        <v>4839</v>
      </c>
      <c r="AO15" s="651">
        <v>12395</v>
      </c>
      <c r="AP15" s="106"/>
      <c r="AQ15" s="78"/>
      <c r="AR15" s="94">
        <v>309</v>
      </c>
      <c r="AS15" s="95"/>
      <c r="AT15" s="77">
        <v>125</v>
      </c>
      <c r="AU15" s="78">
        <v>21</v>
      </c>
      <c r="AV15" s="97">
        <f t="shared" si="2"/>
        <v>27766</v>
      </c>
      <c r="AW15" s="107">
        <f t="shared" si="1"/>
        <v>27547</v>
      </c>
      <c r="AX15" s="77">
        <f>1093.37+872.03+997.39+120.08</f>
        <v>3082.87</v>
      </c>
      <c r="AY15" s="95">
        <f>908+1248+864+220+2382</f>
        <v>5622</v>
      </c>
      <c r="AZ15" s="97">
        <f t="shared" si="3"/>
        <v>30848.87</v>
      </c>
      <c r="BA15" s="109">
        <f t="shared" si="4"/>
        <v>33169</v>
      </c>
    </row>
    <row r="16" spans="1:59" s="71" customFormat="1" ht="14.25" x14ac:dyDescent="0.3">
      <c r="A16" s="99" t="s">
        <v>41</v>
      </c>
      <c r="B16" s="104"/>
      <c r="C16" s="72"/>
      <c r="D16" s="105"/>
      <c r="E16" s="75"/>
      <c r="F16" s="106"/>
      <c r="G16" s="79"/>
      <c r="H16" s="106"/>
      <c r="I16" s="79"/>
      <c r="J16" s="106"/>
      <c r="K16" s="79"/>
      <c r="L16" s="106"/>
      <c r="M16" s="79"/>
      <c r="N16" s="106"/>
      <c r="O16" s="500"/>
      <c r="P16" s="105"/>
      <c r="Q16" s="75"/>
      <c r="R16" s="73"/>
      <c r="S16" s="75"/>
      <c r="T16" s="73"/>
      <c r="U16" s="75"/>
      <c r="V16" s="77"/>
      <c r="W16" s="79"/>
      <c r="X16" s="73"/>
      <c r="Y16" s="75"/>
      <c r="Z16" s="80"/>
      <c r="AA16" s="81"/>
      <c r="AB16" s="73"/>
      <c r="AC16" s="75"/>
      <c r="AD16" s="73"/>
      <c r="AE16" s="75"/>
      <c r="AF16" s="73"/>
      <c r="AG16" s="75"/>
      <c r="AH16" s="73"/>
      <c r="AI16" s="75"/>
      <c r="AJ16" s="73"/>
      <c r="AK16" s="75"/>
      <c r="AL16" s="504"/>
      <c r="AM16" s="76"/>
      <c r="AN16" s="166"/>
      <c r="AO16" s="651"/>
      <c r="AP16" s="106"/>
      <c r="AQ16" s="78"/>
      <c r="AR16" s="94"/>
      <c r="AS16" s="95"/>
      <c r="AT16" s="77"/>
      <c r="AU16" s="78"/>
      <c r="AV16" s="97"/>
      <c r="AW16" s="107">
        <f t="shared" si="1"/>
        <v>0</v>
      </c>
      <c r="AX16" s="77"/>
      <c r="AY16" s="95"/>
      <c r="AZ16" s="97">
        <f t="shared" si="3"/>
        <v>0</v>
      </c>
      <c r="BA16" s="109">
        <f t="shared" si="4"/>
        <v>0</v>
      </c>
    </row>
    <row r="17" spans="1:53" s="71" customFormat="1" ht="14.25" x14ac:dyDescent="0.3">
      <c r="A17" s="99" t="s">
        <v>42</v>
      </c>
      <c r="B17" s="104"/>
      <c r="C17" s="72"/>
      <c r="D17" s="105"/>
      <c r="E17" s="75"/>
      <c r="F17" s="106"/>
      <c r="G17" s="79"/>
      <c r="H17" s="106"/>
      <c r="I17" s="79"/>
      <c r="J17" s="106"/>
      <c r="K17" s="79"/>
      <c r="L17" s="106"/>
      <c r="M17" s="79"/>
      <c r="N17" s="106"/>
      <c r="O17" s="500"/>
      <c r="P17" s="105"/>
      <c r="Q17" s="75"/>
      <c r="R17" s="73"/>
      <c r="S17" s="75"/>
      <c r="T17" s="73"/>
      <c r="U17" s="75"/>
      <c r="V17" s="77"/>
      <c r="W17" s="79"/>
      <c r="X17" s="73"/>
      <c r="Y17" s="75"/>
      <c r="Z17" s="80"/>
      <c r="AA17" s="81"/>
      <c r="AB17" s="73"/>
      <c r="AC17" s="75"/>
      <c r="AD17" s="73"/>
      <c r="AE17" s="75"/>
      <c r="AF17" s="73">
        <v>80396</v>
      </c>
      <c r="AG17" s="75">
        <v>86120</v>
      </c>
      <c r="AH17" s="73"/>
      <c r="AI17" s="75"/>
      <c r="AJ17" s="73"/>
      <c r="AK17" s="75"/>
      <c r="AL17" s="504"/>
      <c r="AM17" s="76"/>
      <c r="AN17" s="166"/>
      <c r="AO17" s="651"/>
      <c r="AP17" s="106">
        <v>26</v>
      </c>
      <c r="AQ17" s="78">
        <v>28</v>
      </c>
      <c r="AR17" s="94"/>
      <c r="AS17" s="95"/>
      <c r="AT17" s="77"/>
      <c r="AU17" s="78"/>
      <c r="AV17" s="97">
        <f t="shared" ref="AV17:AV22" si="5">SUM(B17+D17+F17+H17+J17+L17+N17+P17+R17+T17+V17+X17+Z17+AB17+AD17+AF17+AH17+AJ17+AL17+AN17+AP17+AR17+AT17)</f>
        <v>80422</v>
      </c>
      <c r="AW17" s="107">
        <f t="shared" si="1"/>
        <v>86148</v>
      </c>
      <c r="AX17" s="77"/>
      <c r="AY17" s="95"/>
      <c r="AZ17" s="97">
        <f t="shared" si="3"/>
        <v>80422</v>
      </c>
      <c r="BA17" s="109">
        <f t="shared" si="4"/>
        <v>86148</v>
      </c>
    </row>
    <row r="18" spans="1:53" s="71" customFormat="1" ht="14.25" x14ac:dyDescent="0.3">
      <c r="A18" s="99" t="s">
        <v>43</v>
      </c>
      <c r="B18" s="104"/>
      <c r="C18" s="72"/>
      <c r="D18" s="105"/>
      <c r="E18" s="75"/>
      <c r="F18" s="106"/>
      <c r="G18" s="79"/>
      <c r="H18" s="106"/>
      <c r="I18" s="79"/>
      <c r="J18" s="106"/>
      <c r="K18" s="79"/>
      <c r="L18" s="106"/>
      <c r="M18" s="79"/>
      <c r="N18" s="106"/>
      <c r="O18" s="500"/>
      <c r="P18" s="105"/>
      <c r="Q18" s="75"/>
      <c r="R18" s="73"/>
      <c r="S18" s="75"/>
      <c r="T18" s="73"/>
      <c r="U18" s="75"/>
      <c r="V18" s="77">
        <v>56534</v>
      </c>
      <c r="W18" s="79">
        <v>18711</v>
      </c>
      <c r="X18" s="73"/>
      <c r="Y18" s="75"/>
      <c r="Z18" s="80"/>
      <c r="AA18" s="81"/>
      <c r="AB18" s="73"/>
      <c r="AC18" s="75"/>
      <c r="AD18" s="73"/>
      <c r="AE18" s="75"/>
      <c r="AF18" s="73"/>
      <c r="AG18" s="75"/>
      <c r="AH18" s="73"/>
      <c r="AI18" s="75"/>
      <c r="AJ18" s="73"/>
      <c r="AK18" s="75"/>
      <c r="AL18" s="504"/>
      <c r="AM18" s="76"/>
      <c r="AN18" s="166"/>
      <c r="AO18" s="651"/>
      <c r="AP18" s="106"/>
      <c r="AQ18" s="78"/>
      <c r="AR18" s="94"/>
      <c r="AS18" s="95"/>
      <c r="AT18" s="77"/>
      <c r="AU18" s="78"/>
      <c r="AV18" s="97">
        <f t="shared" si="5"/>
        <v>56534</v>
      </c>
      <c r="AW18" s="107">
        <f t="shared" si="1"/>
        <v>18711</v>
      </c>
      <c r="AX18" s="77"/>
      <c r="AY18" s="95"/>
      <c r="AZ18" s="97">
        <f t="shared" si="3"/>
        <v>56534</v>
      </c>
      <c r="BA18" s="109">
        <f t="shared" si="4"/>
        <v>18711</v>
      </c>
    </row>
    <row r="19" spans="1:53" s="71" customFormat="1" ht="14.25" x14ac:dyDescent="0.3">
      <c r="A19" s="99" t="s">
        <v>44</v>
      </c>
      <c r="B19" s="104"/>
      <c r="C19" s="72"/>
      <c r="D19" s="105"/>
      <c r="E19" s="75"/>
      <c r="F19" s="106"/>
      <c r="G19" s="79"/>
      <c r="H19" s="106"/>
      <c r="I19" s="79"/>
      <c r="J19" s="106"/>
      <c r="K19" s="79"/>
      <c r="L19" s="106"/>
      <c r="M19" s="79"/>
      <c r="N19" s="106"/>
      <c r="O19" s="500"/>
      <c r="P19" s="105"/>
      <c r="Q19" s="75"/>
      <c r="R19" s="73"/>
      <c r="S19" s="75"/>
      <c r="T19" s="73"/>
      <c r="U19" s="75"/>
      <c r="V19" s="77">
        <v>1427</v>
      </c>
      <c r="W19" s="79">
        <v>1702</v>
      </c>
      <c r="X19" s="73"/>
      <c r="Y19" s="75"/>
      <c r="Z19" s="80"/>
      <c r="AA19" s="81"/>
      <c r="AB19" s="73"/>
      <c r="AC19" s="75"/>
      <c r="AD19" s="73"/>
      <c r="AE19" s="75"/>
      <c r="AF19" s="73"/>
      <c r="AG19" s="75"/>
      <c r="AH19" s="73"/>
      <c r="AI19" s="75"/>
      <c r="AJ19" s="73"/>
      <c r="AK19" s="75"/>
      <c r="AL19" s="504"/>
      <c r="AM19" s="76"/>
      <c r="AN19" s="166"/>
      <c r="AO19" s="651"/>
      <c r="AP19" s="106"/>
      <c r="AQ19" s="78"/>
      <c r="AR19" s="94"/>
      <c r="AS19" s="95"/>
      <c r="AT19" s="77"/>
      <c r="AU19" s="78"/>
      <c r="AV19" s="97">
        <f t="shared" si="5"/>
        <v>1427</v>
      </c>
      <c r="AW19" s="107">
        <f t="shared" si="1"/>
        <v>1702</v>
      </c>
      <c r="AX19" s="77"/>
      <c r="AY19" s="95"/>
      <c r="AZ19" s="97">
        <f t="shared" si="3"/>
        <v>1427</v>
      </c>
      <c r="BA19" s="109">
        <f t="shared" si="4"/>
        <v>1702</v>
      </c>
    </row>
    <row r="20" spans="1:53" s="71" customFormat="1" ht="14.25" x14ac:dyDescent="0.3">
      <c r="A20" s="99" t="s">
        <v>45</v>
      </c>
      <c r="B20" s="104"/>
      <c r="C20" s="72"/>
      <c r="D20" s="105"/>
      <c r="E20" s="75"/>
      <c r="F20" s="106">
        <v>474</v>
      </c>
      <c r="G20" s="79">
        <v>650</v>
      </c>
      <c r="H20" s="106">
        <v>730</v>
      </c>
      <c r="I20" s="79">
        <v>730</v>
      </c>
      <c r="J20" s="106"/>
      <c r="K20" s="79"/>
      <c r="L20" s="106"/>
      <c r="M20" s="79"/>
      <c r="N20" s="106">
        <v>49</v>
      </c>
      <c r="O20" s="500">
        <v>55</v>
      </c>
      <c r="P20" s="105">
        <v>11</v>
      </c>
      <c r="Q20" s="75">
        <v>15</v>
      </c>
      <c r="R20" s="73"/>
      <c r="S20" s="75"/>
      <c r="T20" s="73"/>
      <c r="U20" s="75"/>
      <c r="V20" s="77">
        <v>1910</v>
      </c>
      <c r="W20" s="79">
        <v>2143</v>
      </c>
      <c r="X20" s="73">
        <v>2824</v>
      </c>
      <c r="Y20" s="75">
        <v>3468</v>
      </c>
      <c r="Z20" s="80"/>
      <c r="AA20" s="81"/>
      <c r="AB20" s="73"/>
      <c r="AC20" s="75"/>
      <c r="AD20" s="73">
        <v>128</v>
      </c>
      <c r="AE20" s="75">
        <v>193</v>
      </c>
      <c r="AF20" s="73"/>
      <c r="AG20" s="75"/>
      <c r="AH20" s="73"/>
      <c r="AI20" s="75"/>
      <c r="AJ20" s="73"/>
      <c r="AK20" s="75"/>
      <c r="AL20" s="504"/>
      <c r="AM20" s="76"/>
      <c r="AN20" s="166">
        <v>928</v>
      </c>
      <c r="AO20" s="651">
        <v>1102</v>
      </c>
      <c r="AP20" s="106"/>
      <c r="AQ20" s="78"/>
      <c r="AR20" s="94"/>
      <c r="AS20" s="95"/>
      <c r="AT20" s="77">
        <v>294</v>
      </c>
      <c r="AU20" s="78">
        <v>509</v>
      </c>
      <c r="AV20" s="97">
        <f t="shared" si="5"/>
        <v>7348</v>
      </c>
      <c r="AW20" s="107">
        <f t="shared" si="1"/>
        <v>8865</v>
      </c>
      <c r="AX20" s="77">
        <v>57090.879999999997</v>
      </c>
      <c r="AY20" s="95">
        <v>61576</v>
      </c>
      <c r="AZ20" s="97">
        <f t="shared" si="3"/>
        <v>64438.879999999997</v>
      </c>
      <c r="BA20" s="109">
        <f t="shared" si="4"/>
        <v>70441</v>
      </c>
    </row>
    <row r="21" spans="1:53" s="71" customFormat="1" ht="14.25" x14ac:dyDescent="0.3">
      <c r="A21" s="99" t="s">
        <v>46</v>
      </c>
      <c r="B21" s="104"/>
      <c r="C21" s="72"/>
      <c r="D21" s="105"/>
      <c r="E21" s="75"/>
      <c r="F21" s="106"/>
      <c r="G21" s="79"/>
      <c r="H21" s="106">
        <v>2724</v>
      </c>
      <c r="I21" s="79"/>
      <c r="J21" s="106"/>
      <c r="K21" s="79"/>
      <c r="L21" s="106"/>
      <c r="M21" s="79"/>
      <c r="N21" s="106">
        <v>62</v>
      </c>
      <c r="O21" s="500">
        <v>28</v>
      </c>
      <c r="P21" s="105"/>
      <c r="Q21" s="75"/>
      <c r="R21" s="73"/>
      <c r="S21" s="75"/>
      <c r="T21" s="73"/>
      <c r="U21" s="75"/>
      <c r="V21" s="77"/>
      <c r="W21" s="79"/>
      <c r="X21" s="73"/>
      <c r="Y21" s="75"/>
      <c r="Z21" s="80"/>
      <c r="AA21" s="81"/>
      <c r="AB21" s="73">
        <v>106</v>
      </c>
      <c r="AC21" s="75">
        <v>101</v>
      </c>
      <c r="AD21" s="73"/>
      <c r="AE21" s="75"/>
      <c r="AF21" s="73"/>
      <c r="AG21" s="75"/>
      <c r="AH21" s="73"/>
      <c r="AI21" s="75"/>
      <c r="AJ21" s="73">
        <v>41</v>
      </c>
      <c r="AK21" s="75">
        <v>69</v>
      </c>
      <c r="AL21" s="504"/>
      <c r="AM21" s="76"/>
      <c r="AN21" s="166"/>
      <c r="AO21" s="651"/>
      <c r="AP21" s="106"/>
      <c r="AQ21" s="78"/>
      <c r="AR21" s="94">
        <v>32</v>
      </c>
      <c r="AS21" s="95"/>
      <c r="AT21" s="77"/>
      <c r="AU21" s="78"/>
      <c r="AV21" s="97">
        <f t="shared" si="5"/>
        <v>2965</v>
      </c>
      <c r="AW21" s="107">
        <f t="shared" si="1"/>
        <v>198</v>
      </c>
      <c r="AX21" s="77"/>
      <c r="AY21" s="95"/>
      <c r="AZ21" s="97">
        <f t="shared" si="3"/>
        <v>2965</v>
      </c>
      <c r="BA21" s="109">
        <f t="shared" si="4"/>
        <v>198</v>
      </c>
    </row>
    <row r="22" spans="1:53" s="71" customFormat="1" ht="14.25" x14ac:dyDescent="0.3">
      <c r="A22" s="99" t="s">
        <v>47</v>
      </c>
      <c r="B22" s="104"/>
      <c r="C22" s="72"/>
      <c r="D22" s="105">
        <v>83</v>
      </c>
      <c r="E22" s="75">
        <v>51</v>
      </c>
      <c r="F22" s="106"/>
      <c r="G22" s="79"/>
      <c r="H22" s="106"/>
      <c r="I22" s="79">
        <v>576</v>
      </c>
      <c r="J22" s="106"/>
      <c r="K22" s="79"/>
      <c r="L22" s="106"/>
      <c r="M22" s="79"/>
      <c r="N22" s="106">
        <v>140</v>
      </c>
      <c r="O22" s="500">
        <v>213</v>
      </c>
      <c r="P22" s="105"/>
      <c r="Q22" s="75"/>
      <c r="R22" s="73"/>
      <c r="S22" s="75"/>
      <c r="T22" s="73">
        <f>2516+2685+143</f>
        <v>5344</v>
      </c>
      <c r="U22" s="75">
        <f>9625+2944+49+76</f>
        <v>12694</v>
      </c>
      <c r="V22" s="77"/>
      <c r="W22" s="79"/>
      <c r="X22" s="73"/>
      <c r="Y22" s="75"/>
      <c r="Z22" s="80">
        <f>38</f>
        <v>38</v>
      </c>
      <c r="AA22" s="81">
        <v>8</v>
      </c>
      <c r="AB22" s="73"/>
      <c r="AC22" s="75"/>
      <c r="AD22" s="73">
        <v>171</v>
      </c>
      <c r="AE22" s="75">
        <v>189</v>
      </c>
      <c r="AF22" s="73">
        <v>3244</v>
      </c>
      <c r="AG22" s="75">
        <v>3948</v>
      </c>
      <c r="AH22" s="73"/>
      <c r="AI22" s="75"/>
      <c r="AJ22" s="73">
        <v>904</v>
      </c>
      <c r="AK22" s="75">
        <v>1283</v>
      </c>
      <c r="AL22" s="504"/>
      <c r="AM22" s="76"/>
      <c r="AN22" s="166">
        <v>226</v>
      </c>
      <c r="AO22" s="651">
        <v>141</v>
      </c>
      <c r="AP22" s="106">
        <v>176</v>
      </c>
      <c r="AQ22" s="78">
        <v>528</v>
      </c>
      <c r="AR22" s="94">
        <f>469+49+104+192</f>
        <v>814</v>
      </c>
      <c r="AS22" s="95"/>
      <c r="AT22" s="77">
        <v>9967</v>
      </c>
      <c r="AU22" s="78">
        <f>804+12351</f>
        <v>13155</v>
      </c>
      <c r="AV22" s="97">
        <f t="shared" si="5"/>
        <v>21107</v>
      </c>
      <c r="AW22" s="107">
        <f t="shared" si="1"/>
        <v>32786</v>
      </c>
      <c r="AX22" s="77">
        <v>353.77</v>
      </c>
      <c r="AY22" s="95">
        <v>635</v>
      </c>
      <c r="AZ22" s="97">
        <f t="shared" si="3"/>
        <v>21460.77</v>
      </c>
      <c r="BA22" s="109">
        <f t="shared" si="4"/>
        <v>33421</v>
      </c>
    </row>
    <row r="23" spans="1:53" s="71" customFormat="1" ht="14.25" x14ac:dyDescent="0.3">
      <c r="A23" s="99" t="s">
        <v>48</v>
      </c>
      <c r="B23" s="104"/>
      <c r="C23" s="72"/>
      <c r="D23" s="105"/>
      <c r="E23" s="75"/>
      <c r="F23" s="106"/>
      <c r="G23" s="79"/>
      <c r="H23" s="106"/>
      <c r="I23" s="79"/>
      <c r="J23" s="106"/>
      <c r="K23" s="79"/>
      <c r="L23" s="106"/>
      <c r="M23" s="79"/>
      <c r="N23" s="106"/>
      <c r="O23" s="500"/>
      <c r="P23" s="105"/>
      <c r="Q23" s="75"/>
      <c r="R23" s="73"/>
      <c r="S23" s="75"/>
      <c r="T23" s="73"/>
      <c r="U23" s="75"/>
      <c r="V23" s="77"/>
      <c r="W23" s="79"/>
      <c r="X23" s="73"/>
      <c r="Y23" s="75"/>
      <c r="Z23" s="80"/>
      <c r="AA23" s="81"/>
      <c r="AB23" s="73"/>
      <c r="AC23" s="75"/>
      <c r="AD23" s="73"/>
      <c r="AE23" s="75"/>
      <c r="AF23" s="73"/>
      <c r="AG23" s="75"/>
      <c r="AH23" s="73"/>
      <c r="AI23" s="75"/>
      <c r="AJ23" s="73"/>
      <c r="AK23" s="75"/>
      <c r="AL23" s="504"/>
      <c r="AM23" s="76"/>
      <c r="AN23" s="77"/>
      <c r="AO23" s="651"/>
      <c r="AP23" s="106"/>
      <c r="AQ23" s="78"/>
      <c r="AR23" s="94"/>
      <c r="AS23" s="95"/>
      <c r="AT23" s="77"/>
      <c r="AU23" s="78"/>
      <c r="AV23" s="97"/>
      <c r="AW23" s="107">
        <f t="shared" si="1"/>
        <v>0</v>
      </c>
      <c r="AX23" s="77"/>
      <c r="AY23" s="95"/>
      <c r="AZ23" s="97"/>
      <c r="BA23" s="109"/>
    </row>
    <row r="24" spans="1:53" s="71" customFormat="1" ht="14.25" x14ac:dyDescent="0.3">
      <c r="A24" s="99" t="s">
        <v>31</v>
      </c>
      <c r="B24" s="111">
        <v>-63738</v>
      </c>
      <c r="C24" s="72">
        <v>-23263</v>
      </c>
      <c r="D24" s="112">
        <v>-20601</v>
      </c>
      <c r="E24" s="75">
        <v>-3517</v>
      </c>
      <c r="F24" s="107">
        <v>-18064</v>
      </c>
      <c r="G24" s="79">
        <v>-4239</v>
      </c>
      <c r="H24" s="107">
        <v>-27779</v>
      </c>
      <c r="I24" s="79">
        <v>-20119</v>
      </c>
      <c r="J24" s="107">
        <v>-9130</v>
      </c>
      <c r="K24" s="79">
        <v>-3172</v>
      </c>
      <c r="L24" s="107">
        <v>-14820</v>
      </c>
      <c r="M24" s="107">
        <v>-7970</v>
      </c>
      <c r="N24" s="107">
        <v>-10256</v>
      </c>
      <c r="O24" s="500">
        <v>-4009</v>
      </c>
      <c r="P24" s="112">
        <v>-12267</v>
      </c>
      <c r="Q24" s="75">
        <v>-3346</v>
      </c>
      <c r="R24" s="84">
        <v>-25712</v>
      </c>
      <c r="S24" s="75"/>
      <c r="T24" s="84">
        <v>-13177</v>
      </c>
      <c r="U24" s="75">
        <v>-3743</v>
      </c>
      <c r="V24" s="97">
        <v>-125003</v>
      </c>
      <c r="W24" s="79">
        <v>-56520</v>
      </c>
      <c r="X24" s="84">
        <v>-186806</v>
      </c>
      <c r="Y24" s="75">
        <v>-77721</v>
      </c>
      <c r="Z24" s="80">
        <v>-4470</v>
      </c>
      <c r="AA24" s="81">
        <v>-1843</v>
      </c>
      <c r="AB24" s="84">
        <v>-26192</v>
      </c>
      <c r="AC24" s="75">
        <v>-9194</v>
      </c>
      <c r="AD24" s="113">
        <v>-48344</v>
      </c>
      <c r="AE24" s="75">
        <v>-16329</v>
      </c>
      <c r="AF24" s="84">
        <v>-110890</v>
      </c>
      <c r="AG24" s="75">
        <v>-29408</v>
      </c>
      <c r="AH24" s="84">
        <v>-66905</v>
      </c>
      <c r="AI24" s="75">
        <v>-23115</v>
      </c>
      <c r="AJ24" s="84">
        <v>-5141</v>
      </c>
      <c r="AK24" s="75">
        <v>-2116</v>
      </c>
      <c r="AL24" s="504"/>
      <c r="AM24" s="76"/>
      <c r="AN24" s="166">
        <v>-71151</v>
      </c>
      <c r="AO24" s="651">
        <v>-21429</v>
      </c>
      <c r="AP24" s="106">
        <v>-1410</v>
      </c>
      <c r="AQ24" s="78">
        <v>-581</v>
      </c>
      <c r="AR24" s="94">
        <v>-16579</v>
      </c>
      <c r="AS24" s="95"/>
      <c r="AT24" s="97">
        <v>-97571</v>
      </c>
      <c r="AU24" s="78">
        <v>-32172</v>
      </c>
      <c r="AV24" s="97">
        <f>SUM(B24+D24+F24+H24+J24+L24+N24+P24+R24+T24+V24+X24+Z24+AB24+AD24+AF24+AH24+AJ24+AL24+AN24+AP24+AR24+AT24)</f>
        <v>-976006</v>
      </c>
      <c r="AW24" s="107">
        <f t="shared" si="1"/>
        <v>-343806</v>
      </c>
      <c r="AX24" s="97">
        <v>-58405.4</v>
      </c>
      <c r="AY24" s="95">
        <v>-27053</v>
      </c>
      <c r="AZ24" s="97">
        <f>AV24+AX24</f>
        <v>-1034411.4</v>
      </c>
      <c r="BA24" s="109">
        <f>AW24+AY24</f>
        <v>-370859</v>
      </c>
    </row>
    <row r="25" spans="1:53" s="71" customFormat="1" ht="14.25" x14ac:dyDescent="0.3">
      <c r="A25" s="99" t="s">
        <v>32</v>
      </c>
      <c r="B25" s="104"/>
      <c r="C25" s="72"/>
      <c r="D25" s="105"/>
      <c r="E25" s="75"/>
      <c r="F25" s="106"/>
      <c r="G25" s="79"/>
      <c r="H25" s="106"/>
      <c r="I25" s="79"/>
      <c r="J25" s="106"/>
      <c r="K25" s="79"/>
      <c r="L25" s="106"/>
      <c r="M25" s="79"/>
      <c r="N25" s="106"/>
      <c r="O25" s="500"/>
      <c r="P25" s="105"/>
      <c r="Q25" s="75"/>
      <c r="R25" s="73"/>
      <c r="S25" s="75"/>
      <c r="T25" s="73"/>
      <c r="U25" s="75"/>
      <c r="V25" s="77"/>
      <c r="W25" s="79"/>
      <c r="X25" s="73"/>
      <c r="Y25" s="75"/>
      <c r="Z25" s="80"/>
      <c r="AA25" s="81"/>
      <c r="AB25" s="73"/>
      <c r="AC25" s="75"/>
      <c r="AD25" s="73"/>
      <c r="AE25" s="75"/>
      <c r="AF25" s="73"/>
      <c r="AG25" s="75"/>
      <c r="AH25" s="73"/>
      <c r="AI25" s="75"/>
      <c r="AJ25" s="73"/>
      <c r="AK25" s="75"/>
      <c r="AL25" s="504"/>
      <c r="AM25" s="76"/>
      <c r="AN25" s="77"/>
      <c r="AO25" s="651"/>
      <c r="AP25" s="106"/>
      <c r="AQ25" s="78"/>
      <c r="AR25" s="94"/>
      <c r="AS25" s="95"/>
      <c r="AT25" s="77"/>
      <c r="AU25" s="78"/>
      <c r="AV25" s="97"/>
      <c r="AW25" s="107">
        <f t="shared" si="1"/>
        <v>0</v>
      </c>
      <c r="AX25" s="94"/>
      <c r="AY25" s="95"/>
      <c r="AZ25" s="97"/>
      <c r="BA25" s="109"/>
    </row>
    <row r="26" spans="1:53" s="71" customFormat="1" ht="14.25" x14ac:dyDescent="0.3">
      <c r="A26" s="99" t="s">
        <v>49</v>
      </c>
      <c r="B26" s="104"/>
      <c r="C26" s="72"/>
      <c r="D26" s="105"/>
      <c r="E26" s="75"/>
      <c r="F26" s="106"/>
      <c r="G26" s="79"/>
      <c r="H26" s="106"/>
      <c r="I26" s="79"/>
      <c r="J26" s="106"/>
      <c r="K26" s="79"/>
      <c r="L26" s="106"/>
      <c r="M26" s="79"/>
      <c r="N26" s="106"/>
      <c r="O26" s="500"/>
      <c r="P26" s="105"/>
      <c r="Q26" s="75"/>
      <c r="R26" s="73"/>
      <c r="S26" s="75"/>
      <c r="T26" s="73"/>
      <c r="U26" s="75"/>
      <c r="V26" s="77"/>
      <c r="W26" s="79"/>
      <c r="X26" s="73"/>
      <c r="Y26" s="75"/>
      <c r="Z26" s="80"/>
      <c r="AA26" s="81"/>
      <c r="AB26" s="73"/>
      <c r="AC26" s="75"/>
      <c r="AD26" s="73"/>
      <c r="AE26" s="75"/>
      <c r="AF26" s="73"/>
      <c r="AG26" s="75"/>
      <c r="AH26" s="73"/>
      <c r="AI26" s="75"/>
      <c r="AJ26" s="73"/>
      <c r="AK26" s="75"/>
      <c r="AL26" s="504"/>
      <c r="AM26" s="76"/>
      <c r="AN26" s="77"/>
      <c r="AO26" s="651"/>
      <c r="AP26" s="106"/>
      <c r="AQ26" s="78"/>
      <c r="AR26" s="94"/>
      <c r="AS26" s="95"/>
      <c r="AT26" s="77"/>
      <c r="AU26" s="78"/>
      <c r="AV26" s="97"/>
      <c r="AW26" s="107">
        <f t="shared" si="1"/>
        <v>0</v>
      </c>
      <c r="AX26" s="94"/>
      <c r="AY26" s="95"/>
      <c r="AZ26" s="97"/>
      <c r="BA26" s="109"/>
    </row>
    <row r="27" spans="1:53" s="71" customFormat="1" ht="14.25" x14ac:dyDescent="0.3">
      <c r="A27" s="99" t="s">
        <v>50</v>
      </c>
      <c r="B27" s="104">
        <v>-356</v>
      </c>
      <c r="C27" s="72">
        <v>-253</v>
      </c>
      <c r="D27" s="105">
        <v>-35</v>
      </c>
      <c r="E27" s="75">
        <v>-19</v>
      </c>
      <c r="F27" s="106">
        <v>-108</v>
      </c>
      <c r="G27" s="79">
        <v>-57</v>
      </c>
      <c r="H27" s="106">
        <f>-19</f>
        <v>-19</v>
      </c>
      <c r="I27" s="79"/>
      <c r="J27" s="106">
        <v>-49</v>
      </c>
      <c r="K27" s="79">
        <v>-77</v>
      </c>
      <c r="L27" s="106"/>
      <c r="M27" s="79"/>
      <c r="N27" s="106">
        <v>-8</v>
      </c>
      <c r="O27" s="500">
        <v>-2</v>
      </c>
      <c r="P27" s="105">
        <v>-52</v>
      </c>
      <c r="Q27" s="75">
        <v>-111</v>
      </c>
      <c r="R27" s="73"/>
      <c r="S27" s="75"/>
      <c r="T27" s="73">
        <v>-79</v>
      </c>
      <c r="U27" s="75">
        <v>-84</v>
      </c>
      <c r="V27" s="77">
        <v>-1769</v>
      </c>
      <c r="W27" s="79">
        <v>-1731</v>
      </c>
      <c r="X27" s="73">
        <v>-6046</v>
      </c>
      <c r="Y27" s="75">
        <v>-4207</v>
      </c>
      <c r="Z27" s="80"/>
      <c r="AA27" s="81"/>
      <c r="AB27" s="73">
        <v>-65</v>
      </c>
      <c r="AC27" s="75">
        <v>-12</v>
      </c>
      <c r="AD27" s="73">
        <v>-36</v>
      </c>
      <c r="AE27" s="75">
        <v>-186</v>
      </c>
      <c r="AF27" s="73">
        <v>-309</v>
      </c>
      <c r="AG27" s="75">
        <v>-521</v>
      </c>
      <c r="AH27" s="73">
        <v>-149</v>
      </c>
      <c r="AI27" s="75">
        <v>-133</v>
      </c>
      <c r="AJ27" s="73">
        <v>-11</v>
      </c>
      <c r="AK27" s="75">
        <v>-14</v>
      </c>
      <c r="AL27" s="504"/>
      <c r="AM27" s="76"/>
      <c r="AN27" s="166">
        <v>-45</v>
      </c>
      <c r="AO27" s="651">
        <v>-100</v>
      </c>
      <c r="AP27" s="106"/>
      <c r="AQ27" s="78"/>
      <c r="AR27" s="94">
        <v>-130</v>
      </c>
      <c r="AS27" s="95"/>
      <c r="AT27" s="77"/>
      <c r="AU27" s="78"/>
      <c r="AV27" s="97">
        <f>SUM(B27+D27+F27+H27+J27+L27+N27+P27+R27+T27+V27+X27+Z27+AB27+AD27+AF27+AH27+AJ27+AL27+AN27+AP27+AR27+AT27)</f>
        <v>-9266</v>
      </c>
      <c r="AW27" s="107">
        <f t="shared" si="1"/>
        <v>-7507</v>
      </c>
      <c r="AX27" s="94">
        <v>-2178.88</v>
      </c>
      <c r="AY27" s="95">
        <v>-3631</v>
      </c>
      <c r="AZ27" s="97">
        <f>AV27+AX27</f>
        <v>-11444.880000000001</v>
      </c>
      <c r="BA27" s="109">
        <f>AW27+AY27</f>
        <v>-11138</v>
      </c>
    </row>
    <row r="28" spans="1:53" s="71" customFormat="1" ht="14.25" x14ac:dyDescent="0.3">
      <c r="A28" s="99" t="s">
        <v>51</v>
      </c>
      <c r="B28" s="104"/>
      <c r="C28" s="72"/>
      <c r="D28" s="105">
        <v>-244</v>
      </c>
      <c r="E28" s="75">
        <v>-52</v>
      </c>
      <c r="F28" s="106"/>
      <c r="G28" s="79"/>
      <c r="H28" s="106">
        <v>-12</v>
      </c>
      <c r="I28" s="79">
        <v>-804</v>
      </c>
      <c r="J28" s="106"/>
      <c r="K28" s="79"/>
      <c r="L28" s="106"/>
      <c r="M28" s="79"/>
      <c r="N28" s="106"/>
      <c r="O28" s="500"/>
      <c r="P28" s="105"/>
      <c r="Q28" s="75"/>
      <c r="R28" s="73"/>
      <c r="S28" s="75"/>
      <c r="T28" s="73"/>
      <c r="U28" s="75"/>
      <c r="V28" s="77"/>
      <c r="W28" s="79"/>
      <c r="X28" s="73">
        <v>-66</v>
      </c>
      <c r="Y28" s="75">
        <v>-5</v>
      </c>
      <c r="Z28" s="80"/>
      <c r="AA28" s="81"/>
      <c r="AB28" s="73"/>
      <c r="AC28" s="75"/>
      <c r="AD28" s="73">
        <v>-23</v>
      </c>
      <c r="AE28" s="75">
        <v>-37</v>
      </c>
      <c r="AF28" s="73"/>
      <c r="AG28" s="75"/>
      <c r="AH28" s="73"/>
      <c r="AI28" s="75"/>
      <c r="AJ28" s="73"/>
      <c r="AK28" s="75"/>
      <c r="AL28" s="504"/>
      <c r="AM28" s="76"/>
      <c r="AN28" s="166"/>
      <c r="AO28" s="651"/>
      <c r="AP28" s="106"/>
      <c r="AQ28" s="78"/>
      <c r="AR28" s="94"/>
      <c r="AS28" s="95"/>
      <c r="AT28" s="77"/>
      <c r="AU28" s="78"/>
      <c r="AV28" s="97">
        <f>SUM(B28+D28+F28+H28+J28+L28+N28+P28+R28+T28+V28+X28+Z28+AB28+AD28+AF28+AH28+AJ28+AL28+AN28+AP28+AR28+AT28)</f>
        <v>-345</v>
      </c>
      <c r="AW28" s="107">
        <f t="shared" si="1"/>
        <v>-898</v>
      </c>
      <c r="AX28" s="94"/>
      <c r="AY28" s="95"/>
      <c r="AZ28" s="97">
        <f>AV28+AX28</f>
        <v>-345</v>
      </c>
      <c r="BA28" s="109">
        <f>AW28+AY28</f>
        <v>-898</v>
      </c>
    </row>
    <row r="29" spans="1:53" s="71" customFormat="1" ht="14.25" x14ac:dyDescent="0.3">
      <c r="A29" s="99" t="s">
        <v>52</v>
      </c>
      <c r="B29" s="111"/>
      <c r="C29" s="72"/>
      <c r="D29" s="112"/>
      <c r="E29" s="75"/>
      <c r="F29" s="107"/>
      <c r="G29" s="79"/>
      <c r="H29" s="107"/>
      <c r="I29" s="79"/>
      <c r="J29" s="107"/>
      <c r="K29" s="79"/>
      <c r="L29" s="107"/>
      <c r="M29" s="79"/>
      <c r="N29" s="107"/>
      <c r="O29" s="500"/>
      <c r="P29" s="112"/>
      <c r="Q29" s="75"/>
      <c r="R29" s="84"/>
      <c r="S29" s="75"/>
      <c r="T29" s="84"/>
      <c r="U29" s="75"/>
      <c r="V29" s="97"/>
      <c r="W29" s="79"/>
      <c r="X29" s="84"/>
      <c r="Y29" s="75"/>
      <c r="Z29" s="80"/>
      <c r="AA29" s="81"/>
      <c r="AB29" s="84"/>
      <c r="AC29" s="75"/>
      <c r="AD29" s="113"/>
      <c r="AE29" s="75"/>
      <c r="AF29" s="84"/>
      <c r="AG29" s="75"/>
      <c r="AH29" s="84"/>
      <c r="AI29" s="75"/>
      <c r="AJ29" s="84"/>
      <c r="AK29" s="75"/>
      <c r="AL29" s="504"/>
      <c r="AM29" s="76"/>
      <c r="AN29" s="77"/>
      <c r="AO29" s="79"/>
      <c r="AP29" s="106"/>
      <c r="AQ29" s="78"/>
      <c r="AR29" s="94"/>
      <c r="AS29" s="95"/>
      <c r="AT29" s="97"/>
      <c r="AU29" s="101"/>
      <c r="AV29" s="97"/>
      <c r="AW29" s="107">
        <f t="shared" si="1"/>
        <v>0</v>
      </c>
      <c r="AX29" s="97"/>
      <c r="AY29" s="101"/>
      <c r="AZ29" s="97"/>
      <c r="BA29" s="109"/>
    </row>
    <row r="30" spans="1:53" s="71" customFormat="1" ht="14.25" x14ac:dyDescent="0.3">
      <c r="A30" s="99" t="s">
        <v>31</v>
      </c>
      <c r="B30" s="104"/>
      <c r="C30" s="72"/>
      <c r="D30" s="105"/>
      <c r="E30" s="75"/>
      <c r="F30" s="106"/>
      <c r="G30" s="79"/>
      <c r="H30" s="106"/>
      <c r="I30" s="79"/>
      <c r="J30" s="106"/>
      <c r="K30" s="79"/>
      <c r="L30" s="106"/>
      <c r="M30" s="79"/>
      <c r="N30" s="106"/>
      <c r="O30" s="500"/>
      <c r="P30" s="105"/>
      <c r="Q30" s="75"/>
      <c r="R30" s="73"/>
      <c r="S30" s="75"/>
      <c r="T30" s="73"/>
      <c r="U30" s="75"/>
      <c r="V30" s="77"/>
      <c r="W30" s="79"/>
      <c r="X30" s="73"/>
      <c r="Y30" s="75">
        <v>1</v>
      </c>
      <c r="Z30" s="80"/>
      <c r="AA30" s="81"/>
      <c r="AB30" s="73"/>
      <c r="AC30" s="75"/>
      <c r="AD30" s="73"/>
      <c r="AE30" s="75"/>
      <c r="AF30" s="73"/>
      <c r="AG30" s="75"/>
      <c r="AH30" s="73"/>
      <c r="AI30" s="75"/>
      <c r="AJ30" s="73"/>
      <c r="AK30" s="75"/>
      <c r="AL30" s="504"/>
      <c r="AM30" s="76"/>
      <c r="AN30" s="77"/>
      <c r="AO30" s="79"/>
      <c r="AP30" s="106"/>
      <c r="AQ30" s="78"/>
      <c r="AR30" s="94"/>
      <c r="AS30" s="95"/>
      <c r="AT30" s="77"/>
      <c r="AU30" s="78"/>
      <c r="AV30" s="97">
        <f>SUM(B30+D30+F30+H30+J30+L30+N30+P30+R30+T30+V30+X30+Z30+AB30+AD30+AF30+AH30+AJ30+AL30+AN30+AP30+AR30+AT30)</f>
        <v>0</v>
      </c>
      <c r="AW30" s="107">
        <f t="shared" si="1"/>
        <v>1</v>
      </c>
      <c r="AX30" s="94"/>
      <c r="AY30" s="95"/>
      <c r="AZ30" s="97">
        <f>AV30+AX30</f>
        <v>0</v>
      </c>
      <c r="BA30" s="109">
        <f>AW30+AY30</f>
        <v>1</v>
      </c>
    </row>
    <row r="31" spans="1:53" s="71" customFormat="1" ht="14.25" x14ac:dyDescent="0.3">
      <c r="A31" s="99" t="s">
        <v>32</v>
      </c>
      <c r="B31" s="104"/>
      <c r="C31" s="72"/>
      <c r="D31" s="105"/>
      <c r="E31" s="75"/>
      <c r="F31" s="106"/>
      <c r="G31" s="79"/>
      <c r="H31" s="106"/>
      <c r="I31" s="79"/>
      <c r="J31" s="106"/>
      <c r="K31" s="79"/>
      <c r="L31" s="106"/>
      <c r="M31" s="79"/>
      <c r="N31" s="106"/>
      <c r="O31" s="500"/>
      <c r="P31" s="105"/>
      <c r="Q31" s="75"/>
      <c r="R31" s="73"/>
      <c r="S31" s="75"/>
      <c r="T31" s="73"/>
      <c r="U31" s="75"/>
      <c r="V31" s="77"/>
      <c r="W31" s="79"/>
      <c r="X31" s="73"/>
      <c r="Y31" s="75"/>
      <c r="Z31" s="80"/>
      <c r="AA31" s="81"/>
      <c r="AB31" s="73"/>
      <c r="AC31" s="75"/>
      <c r="AD31" s="73"/>
      <c r="AE31" s="75"/>
      <c r="AF31" s="73"/>
      <c r="AG31" s="75"/>
      <c r="AH31" s="73"/>
      <c r="AI31" s="75"/>
      <c r="AJ31" s="73"/>
      <c r="AK31" s="75"/>
      <c r="AL31" s="504"/>
      <c r="AM31" s="76"/>
      <c r="AN31" s="77"/>
      <c r="AO31" s="79"/>
      <c r="AP31" s="106"/>
      <c r="AQ31" s="78"/>
      <c r="AR31" s="94"/>
      <c r="AS31" s="95"/>
      <c r="AT31" s="77"/>
      <c r="AU31" s="78"/>
      <c r="AV31" s="97"/>
      <c r="AW31" s="107">
        <f t="shared" si="1"/>
        <v>0</v>
      </c>
      <c r="AX31" s="94"/>
      <c r="AY31" s="95"/>
      <c r="AZ31" s="97"/>
      <c r="BA31" s="109"/>
    </row>
    <row r="32" spans="1:53" s="71" customFormat="1" ht="14.25" x14ac:dyDescent="0.3">
      <c r="A32" s="99" t="s">
        <v>49</v>
      </c>
      <c r="B32" s="104"/>
      <c r="C32" s="72"/>
      <c r="D32" s="105"/>
      <c r="E32" s="75"/>
      <c r="F32" s="106"/>
      <c r="G32" s="79"/>
      <c r="H32" s="106"/>
      <c r="I32" s="79"/>
      <c r="J32" s="106"/>
      <c r="K32" s="79"/>
      <c r="L32" s="106"/>
      <c r="M32" s="79"/>
      <c r="N32" s="106"/>
      <c r="O32" s="500"/>
      <c r="P32" s="105"/>
      <c r="Q32" s="75"/>
      <c r="R32" s="73"/>
      <c r="S32" s="75"/>
      <c r="T32" s="73"/>
      <c r="U32" s="75"/>
      <c r="V32" s="77"/>
      <c r="W32" s="79"/>
      <c r="X32" s="73"/>
      <c r="Y32" s="75"/>
      <c r="Z32" s="80"/>
      <c r="AA32" s="81"/>
      <c r="AB32" s="73"/>
      <c r="AC32" s="75"/>
      <c r="AD32" s="73"/>
      <c r="AE32" s="75"/>
      <c r="AF32" s="73"/>
      <c r="AG32" s="75"/>
      <c r="AH32" s="73"/>
      <c r="AI32" s="75"/>
      <c r="AJ32" s="73"/>
      <c r="AK32" s="75"/>
      <c r="AL32" s="504"/>
      <c r="AM32" s="76"/>
      <c r="AN32" s="77"/>
      <c r="AO32" s="79"/>
      <c r="AP32" s="106"/>
      <c r="AQ32" s="78"/>
      <c r="AR32" s="94"/>
      <c r="AS32" s="95"/>
      <c r="AT32" s="77"/>
      <c r="AU32" s="78"/>
      <c r="AV32" s="97"/>
      <c r="AW32" s="107"/>
      <c r="AX32" s="94"/>
      <c r="AY32" s="95"/>
      <c r="AZ32" s="97"/>
      <c r="BA32" s="109"/>
    </row>
    <row r="33" spans="1:58" s="71" customFormat="1" thickBot="1" x14ac:dyDescent="0.35">
      <c r="A33" s="136" t="s">
        <v>53</v>
      </c>
      <c r="B33" s="114"/>
      <c r="C33" s="674"/>
      <c r="D33" s="115"/>
      <c r="E33" s="668"/>
      <c r="F33" s="116"/>
      <c r="G33" s="667"/>
      <c r="H33" s="116"/>
      <c r="I33" s="667"/>
      <c r="J33" s="116"/>
      <c r="K33" s="667"/>
      <c r="L33" s="116"/>
      <c r="M33" s="667"/>
      <c r="N33" s="116"/>
      <c r="O33" s="672"/>
      <c r="P33" s="115"/>
      <c r="Q33" s="668"/>
      <c r="R33" s="118"/>
      <c r="S33" s="668"/>
      <c r="T33" s="118"/>
      <c r="U33" s="668"/>
      <c r="V33" s="119"/>
      <c r="W33" s="667"/>
      <c r="X33" s="118"/>
      <c r="Y33" s="668"/>
      <c r="Z33" s="120"/>
      <c r="AA33" s="671"/>
      <c r="AB33" s="118"/>
      <c r="AC33" s="668"/>
      <c r="AD33" s="118"/>
      <c r="AE33" s="668"/>
      <c r="AF33" s="118"/>
      <c r="AG33" s="668"/>
      <c r="AH33" s="118"/>
      <c r="AI33" s="668"/>
      <c r="AJ33" s="118"/>
      <c r="AK33" s="668"/>
      <c r="AL33" s="600"/>
      <c r="AM33" s="670"/>
      <c r="AN33" s="119"/>
      <c r="AO33" s="667"/>
      <c r="AP33" s="116"/>
      <c r="AQ33" s="117"/>
      <c r="AR33" s="121"/>
      <c r="AS33" s="122"/>
      <c r="AT33" s="119"/>
      <c r="AU33" s="117"/>
      <c r="AV33" s="123"/>
      <c r="AW33" s="124"/>
      <c r="AX33" s="121"/>
      <c r="AY33" s="122"/>
      <c r="AZ33" s="123"/>
      <c r="BA33" s="663"/>
    </row>
    <row r="34" spans="1:58" s="365" customFormat="1" thickBot="1" x14ac:dyDescent="0.35">
      <c r="A34" s="364" t="s">
        <v>54</v>
      </c>
      <c r="B34" s="644">
        <f>SUM(B6:B33)</f>
        <v>498028</v>
      </c>
      <c r="C34" s="666">
        <f t="shared" ref="C34:AH34" si="6">SUM(C6:C33)</f>
        <v>402495</v>
      </c>
      <c r="D34" s="646">
        <f t="shared" si="6"/>
        <v>27951</v>
      </c>
      <c r="E34" s="666">
        <f t="shared" si="6"/>
        <v>22855</v>
      </c>
      <c r="F34" s="646">
        <f t="shared" si="6"/>
        <v>81304</v>
      </c>
      <c r="G34" s="666">
        <f t="shared" si="6"/>
        <v>74402</v>
      </c>
      <c r="H34" s="646">
        <f t="shared" si="6"/>
        <v>620792</v>
      </c>
      <c r="I34" s="666">
        <f t="shared" si="6"/>
        <v>887776</v>
      </c>
      <c r="J34" s="646">
        <f t="shared" si="6"/>
        <v>58094</v>
      </c>
      <c r="K34" s="666">
        <f t="shared" si="6"/>
        <v>59499</v>
      </c>
      <c r="L34" s="646">
        <f t="shared" si="6"/>
        <v>193413</v>
      </c>
      <c r="M34" s="666">
        <f t="shared" si="6"/>
        <v>234465</v>
      </c>
      <c r="N34" s="646">
        <f t="shared" si="6"/>
        <v>38054</v>
      </c>
      <c r="O34" s="666">
        <f t="shared" si="6"/>
        <v>31174</v>
      </c>
      <c r="P34" s="646">
        <f t="shared" si="6"/>
        <v>20638</v>
      </c>
      <c r="Q34" s="666">
        <f t="shared" si="6"/>
        <v>27682</v>
      </c>
      <c r="R34" s="646">
        <f t="shared" si="6"/>
        <v>142827</v>
      </c>
      <c r="S34" s="666">
        <f t="shared" si="6"/>
        <v>0</v>
      </c>
      <c r="T34" s="646">
        <f t="shared" si="6"/>
        <v>36874</v>
      </c>
      <c r="U34" s="666">
        <f t="shared" si="6"/>
        <v>41081</v>
      </c>
      <c r="V34" s="646">
        <f t="shared" si="6"/>
        <v>2177646</v>
      </c>
      <c r="W34" s="666">
        <f t="shared" si="6"/>
        <v>2595565</v>
      </c>
      <c r="X34" s="646">
        <f t="shared" si="6"/>
        <v>2121519</v>
      </c>
      <c r="Y34" s="666">
        <f t="shared" si="6"/>
        <v>2208794</v>
      </c>
      <c r="Z34" s="646">
        <f t="shared" si="6"/>
        <v>75495</v>
      </c>
      <c r="AA34" s="666">
        <f>SUM(AA6:AA33)</f>
        <v>90416</v>
      </c>
      <c r="AB34" s="646">
        <f t="shared" si="6"/>
        <v>341878</v>
      </c>
      <c r="AC34" s="666">
        <f t="shared" si="6"/>
        <v>286113</v>
      </c>
      <c r="AD34" s="646">
        <f t="shared" si="6"/>
        <v>408901</v>
      </c>
      <c r="AE34" s="666">
        <f t="shared" si="6"/>
        <v>435687</v>
      </c>
      <c r="AF34" s="646">
        <f t="shared" si="6"/>
        <v>695343</v>
      </c>
      <c r="AG34" s="666">
        <f t="shared" si="6"/>
        <v>689342</v>
      </c>
      <c r="AH34" s="646">
        <f t="shared" si="6"/>
        <v>221316</v>
      </c>
      <c r="AI34" s="666">
        <f t="shared" ref="AI34:AS34" si="7">SUM(AI6:AI33)</f>
        <v>193108</v>
      </c>
      <c r="AJ34" s="646">
        <f t="shared" si="7"/>
        <v>231704</v>
      </c>
      <c r="AK34" s="669">
        <f t="shared" si="7"/>
        <v>172692</v>
      </c>
      <c r="AL34" s="644">
        <f t="shared" si="7"/>
        <v>0</v>
      </c>
      <c r="AM34" s="666">
        <f t="shared" si="7"/>
        <v>0</v>
      </c>
      <c r="AN34" s="646">
        <f t="shared" si="7"/>
        <v>2389933</v>
      </c>
      <c r="AO34" s="666">
        <f t="shared" si="7"/>
        <v>2104138</v>
      </c>
      <c r="AP34" s="646">
        <f t="shared" si="7"/>
        <v>63270</v>
      </c>
      <c r="AQ34" s="666">
        <f t="shared" si="7"/>
        <v>53595</v>
      </c>
      <c r="AR34" s="646">
        <f t="shared" si="7"/>
        <v>105395</v>
      </c>
      <c r="AS34" s="666">
        <f t="shared" si="7"/>
        <v>0</v>
      </c>
      <c r="AT34" s="646">
        <f>SUM(AT6:AT33)</f>
        <v>296726</v>
      </c>
      <c r="AU34" s="666">
        <f>SUM(AU6:AU33)</f>
        <v>335387</v>
      </c>
      <c r="AV34" s="358">
        <f>SUM(B34+D34+F34+H34+J34+L34+N34+P34+R34+T34+V34+X34+Z34+AB34+AD34+AF34+AH34+AJ34+AL34+AN34+AP34+AR34+AT34)</f>
        <v>10847101</v>
      </c>
      <c r="AW34" s="358">
        <f>SUM(C34+E34+G34+I34+K34+M34+O34+Q34+S34+U34+W34+Y34+AA34+AC34+AE34+AG34+AI34+AK34+AM34+AO34+AQ34+AS34+AU34)</f>
        <v>10946266</v>
      </c>
      <c r="AX34" s="357">
        <f>SUM(AX6:AX33)</f>
        <v>23303604.390000004</v>
      </c>
      <c r="AY34" s="648">
        <f>SUM(AY6:AY33)</f>
        <v>22865490</v>
      </c>
      <c r="AZ34" s="357">
        <f>AV34+AX34</f>
        <v>34150705.390000001</v>
      </c>
      <c r="BA34" s="647">
        <f>AW34+AY34</f>
        <v>33811756</v>
      </c>
    </row>
    <row r="35" spans="1:58" s="71" customFormat="1" thickBot="1" x14ac:dyDescent="0.35">
      <c r="A35" s="676" t="s">
        <v>55</v>
      </c>
      <c r="B35" s="675"/>
      <c r="C35" s="673"/>
      <c r="D35" s="601"/>
      <c r="E35" s="673"/>
      <c r="F35" s="371"/>
      <c r="G35" s="370"/>
      <c r="H35" s="129"/>
      <c r="I35" s="128"/>
      <c r="J35" s="371"/>
      <c r="K35" s="370"/>
      <c r="L35" s="129"/>
      <c r="M35" s="128"/>
      <c r="N35" s="129"/>
      <c r="O35" s="128"/>
      <c r="P35" s="126"/>
      <c r="Q35" s="127"/>
      <c r="R35" s="125"/>
      <c r="S35" s="127"/>
      <c r="T35" s="125"/>
      <c r="U35" s="127"/>
      <c r="V35" s="130"/>
      <c r="W35" s="128"/>
      <c r="X35" s="125"/>
      <c r="Y35" s="127"/>
      <c r="Z35" s="125"/>
      <c r="AA35" s="127"/>
      <c r="AB35" s="125"/>
      <c r="AC35" s="127"/>
      <c r="AD35" s="125"/>
      <c r="AE35" s="127"/>
      <c r="AF35" s="125"/>
      <c r="AG35" s="127"/>
      <c r="AH35" s="125"/>
      <c r="AI35" s="127"/>
      <c r="AJ35" s="125"/>
      <c r="AK35" s="127"/>
      <c r="AL35" s="601"/>
      <c r="AM35" s="167"/>
      <c r="AN35" s="129"/>
      <c r="AO35" s="129"/>
      <c r="AP35" s="129"/>
      <c r="AQ35" s="129"/>
      <c r="AR35" s="130"/>
      <c r="AS35" s="129"/>
      <c r="AT35" s="130"/>
      <c r="AU35" s="129"/>
      <c r="AV35" s="131"/>
      <c r="AW35" s="132"/>
      <c r="AX35" s="645"/>
      <c r="AY35" s="370"/>
      <c r="AZ35" s="131"/>
      <c r="BA35" s="664"/>
    </row>
    <row r="36" spans="1:58" s="71" customFormat="1" thickBot="1" x14ac:dyDescent="0.35">
      <c r="A36" s="676" t="s">
        <v>56</v>
      </c>
      <c r="B36" s="374">
        <f>B34</f>
        <v>498028</v>
      </c>
      <c r="C36" s="378">
        <f t="shared" ref="C36:AH36" si="8">C34</f>
        <v>402495</v>
      </c>
      <c r="D36" s="376">
        <f t="shared" si="8"/>
        <v>27951</v>
      </c>
      <c r="E36" s="378">
        <f t="shared" si="8"/>
        <v>22855</v>
      </c>
      <c r="F36" s="372">
        <f t="shared" si="8"/>
        <v>81304</v>
      </c>
      <c r="G36" s="368">
        <f t="shared" si="8"/>
        <v>74402</v>
      </c>
      <c r="H36" s="129">
        <f t="shared" si="8"/>
        <v>620792</v>
      </c>
      <c r="I36" s="128">
        <f t="shared" si="8"/>
        <v>887776</v>
      </c>
      <c r="J36" s="372">
        <f t="shared" si="8"/>
        <v>58094</v>
      </c>
      <c r="K36" s="368">
        <f t="shared" si="8"/>
        <v>59499</v>
      </c>
      <c r="L36" s="129">
        <f t="shared" si="8"/>
        <v>193413</v>
      </c>
      <c r="M36" s="128">
        <f t="shared" si="8"/>
        <v>234465</v>
      </c>
      <c r="N36" s="129">
        <f t="shared" si="8"/>
        <v>38054</v>
      </c>
      <c r="O36" s="128">
        <f t="shared" si="8"/>
        <v>31174</v>
      </c>
      <c r="P36" s="129">
        <f t="shared" si="8"/>
        <v>20638</v>
      </c>
      <c r="Q36" s="128">
        <f t="shared" si="8"/>
        <v>27682</v>
      </c>
      <c r="R36" s="130">
        <f t="shared" si="8"/>
        <v>142827</v>
      </c>
      <c r="S36" s="128">
        <f t="shared" si="8"/>
        <v>0</v>
      </c>
      <c r="T36" s="130">
        <f t="shared" si="8"/>
        <v>36874</v>
      </c>
      <c r="U36" s="128">
        <f t="shared" si="8"/>
        <v>41081</v>
      </c>
      <c r="V36" s="130">
        <f t="shared" si="8"/>
        <v>2177646</v>
      </c>
      <c r="W36" s="599">
        <f t="shared" si="8"/>
        <v>2595565</v>
      </c>
      <c r="X36" s="130">
        <v>70890881</v>
      </c>
      <c r="Y36" s="599"/>
      <c r="Z36" s="130">
        <f t="shared" si="8"/>
        <v>75495</v>
      </c>
      <c r="AA36" s="128">
        <f t="shared" si="8"/>
        <v>90416</v>
      </c>
      <c r="AB36" s="130">
        <f t="shared" si="8"/>
        <v>341878</v>
      </c>
      <c r="AC36" s="128">
        <f t="shared" si="8"/>
        <v>286113</v>
      </c>
      <c r="AD36" s="130">
        <f t="shared" si="8"/>
        <v>408901</v>
      </c>
      <c r="AE36" s="128">
        <f t="shared" si="8"/>
        <v>435687</v>
      </c>
      <c r="AF36" s="130">
        <f t="shared" si="8"/>
        <v>695343</v>
      </c>
      <c r="AG36" s="128">
        <f t="shared" si="8"/>
        <v>689342</v>
      </c>
      <c r="AH36" s="130">
        <f t="shared" si="8"/>
        <v>221316</v>
      </c>
      <c r="AI36" s="128">
        <f t="shared" ref="AI36:AN36" si="9">AI34</f>
        <v>193108</v>
      </c>
      <c r="AJ36" s="130">
        <f t="shared" si="9"/>
        <v>231704</v>
      </c>
      <c r="AK36" s="90">
        <f t="shared" si="9"/>
        <v>172692</v>
      </c>
      <c r="AL36" s="602">
        <f t="shared" si="9"/>
        <v>0</v>
      </c>
      <c r="AM36" s="534">
        <f t="shared" si="9"/>
        <v>0</v>
      </c>
      <c r="AN36" s="129">
        <f t="shared" si="9"/>
        <v>2389933</v>
      </c>
      <c r="AO36" s="129">
        <f t="shared" ref="AO36:AU36" si="10">AO34</f>
        <v>2104138</v>
      </c>
      <c r="AP36" s="129">
        <f t="shared" si="10"/>
        <v>63270</v>
      </c>
      <c r="AQ36" s="129">
        <f t="shared" si="10"/>
        <v>53595</v>
      </c>
      <c r="AR36" s="130">
        <f t="shared" si="10"/>
        <v>105395</v>
      </c>
      <c r="AS36" s="129">
        <f t="shared" si="10"/>
        <v>0</v>
      </c>
      <c r="AT36" s="130">
        <f t="shared" si="10"/>
        <v>296726</v>
      </c>
      <c r="AU36" s="129">
        <f t="shared" si="10"/>
        <v>335387</v>
      </c>
      <c r="AV36" s="131">
        <f>SUM(B36+D36+F36+H36+J36+L36+N36+P36+R36+T36+V36+X36+Z36+AB36+AD36+AF36+AH36+AJ36+AL36+AN36+AP36+AR36+AT36)</f>
        <v>79616463</v>
      </c>
      <c r="AW36" s="132">
        <f>SUM(C36+E36+G36+I36+K36+M36+O36+Q36+S36+U36+W36+Y36+AA36+AC36+AE36+AG36+AI36+AK36+AM36+AO36+AQ36+AS36+AU36)</f>
        <v>8737472</v>
      </c>
      <c r="AX36" s="369">
        <f>AX34</f>
        <v>23303604.390000004</v>
      </c>
      <c r="AY36" s="649">
        <f>AY34</f>
        <v>22865490</v>
      </c>
      <c r="AZ36" s="131">
        <f>AV36+AX36</f>
        <v>102920067.39</v>
      </c>
      <c r="BA36" s="664">
        <f>AW36+AY36</f>
        <v>31602962</v>
      </c>
    </row>
    <row r="37" spans="1:58" s="71" customFormat="1" thickBot="1" x14ac:dyDescent="0.35">
      <c r="A37" s="677" t="s">
        <v>57</v>
      </c>
      <c r="B37" s="373"/>
      <c r="C37" s="377"/>
      <c r="D37" s="375"/>
      <c r="E37" s="377"/>
      <c r="F37" s="371"/>
      <c r="G37" s="370"/>
      <c r="H37" s="89"/>
      <c r="I37" s="90"/>
      <c r="J37" s="371"/>
      <c r="K37" s="370"/>
      <c r="L37" s="89"/>
      <c r="M37" s="90"/>
      <c r="N37" s="89"/>
      <c r="O37" s="90"/>
      <c r="Q37" s="133"/>
      <c r="R37" s="110"/>
      <c r="S37" s="133"/>
      <c r="T37" s="110"/>
      <c r="U37" s="133"/>
      <c r="V37" s="91"/>
      <c r="W37" s="90"/>
      <c r="X37" s="110"/>
      <c r="Y37" s="133"/>
      <c r="Z37" s="110"/>
      <c r="AA37" s="133"/>
      <c r="AB37" s="110"/>
      <c r="AC37" s="133"/>
      <c r="AD37" s="110"/>
      <c r="AE37" s="133"/>
      <c r="AF37" s="110"/>
      <c r="AG37" s="133"/>
      <c r="AH37" s="110"/>
      <c r="AI37" s="133"/>
      <c r="AJ37" s="110"/>
      <c r="AK37" s="194"/>
      <c r="AL37" s="241"/>
      <c r="AM37" s="242"/>
      <c r="AN37" s="89"/>
      <c r="AO37" s="89"/>
      <c r="AP37" s="89"/>
      <c r="AQ37" s="89"/>
      <c r="AR37" s="91"/>
      <c r="AS37" s="89"/>
      <c r="AT37" s="91"/>
      <c r="AU37" s="89"/>
      <c r="AV37" s="243"/>
      <c r="AW37" s="244"/>
      <c r="AX37" s="369"/>
      <c r="AY37" s="649"/>
      <c r="AZ37" s="243"/>
      <c r="BA37" s="665"/>
    </row>
    <row r="38" spans="1:58" s="338" customFormat="1" thickBot="1" x14ac:dyDescent="0.35">
      <c r="A38" s="364" t="s">
        <v>54</v>
      </c>
      <c r="B38" s="792">
        <f>B36</f>
        <v>498028</v>
      </c>
      <c r="C38" s="793">
        <f t="shared" ref="C38:AH38" si="11">C36</f>
        <v>402495</v>
      </c>
      <c r="D38" s="794">
        <f t="shared" si="11"/>
        <v>27951</v>
      </c>
      <c r="E38" s="793">
        <f t="shared" si="11"/>
        <v>22855</v>
      </c>
      <c r="F38" s="358">
        <f t="shared" si="11"/>
        <v>81304</v>
      </c>
      <c r="G38" s="648">
        <f t="shared" si="11"/>
        <v>74402</v>
      </c>
      <c r="H38" s="795">
        <f t="shared" si="11"/>
        <v>620792</v>
      </c>
      <c r="I38" s="647">
        <f t="shared" si="11"/>
        <v>887776</v>
      </c>
      <c r="J38" s="358">
        <f t="shared" si="11"/>
        <v>58094</v>
      </c>
      <c r="K38" s="648">
        <f t="shared" si="11"/>
        <v>59499</v>
      </c>
      <c r="L38" s="795">
        <f t="shared" si="11"/>
        <v>193413</v>
      </c>
      <c r="M38" s="647">
        <f t="shared" si="11"/>
        <v>234465</v>
      </c>
      <c r="N38" s="795">
        <f t="shared" si="11"/>
        <v>38054</v>
      </c>
      <c r="O38" s="647">
        <f t="shared" si="11"/>
        <v>31174</v>
      </c>
      <c r="P38" s="796">
        <f t="shared" si="11"/>
        <v>20638</v>
      </c>
      <c r="Q38" s="797">
        <f t="shared" si="11"/>
        <v>27682</v>
      </c>
      <c r="R38" s="798">
        <f t="shared" si="11"/>
        <v>142827</v>
      </c>
      <c r="S38" s="797">
        <f t="shared" si="11"/>
        <v>0</v>
      </c>
      <c r="T38" s="798">
        <f t="shared" si="11"/>
        <v>36874</v>
      </c>
      <c r="U38" s="797">
        <f t="shared" si="11"/>
        <v>41081</v>
      </c>
      <c r="V38" s="799">
        <f t="shared" si="11"/>
        <v>2177646</v>
      </c>
      <c r="W38" s="647">
        <f t="shared" si="11"/>
        <v>2595565</v>
      </c>
      <c r="X38" s="798">
        <f t="shared" si="11"/>
        <v>70890881</v>
      </c>
      <c r="Y38" s="797">
        <f t="shared" si="11"/>
        <v>0</v>
      </c>
      <c r="Z38" s="798">
        <f t="shared" si="11"/>
        <v>75495</v>
      </c>
      <c r="AA38" s="797">
        <f t="shared" si="11"/>
        <v>90416</v>
      </c>
      <c r="AB38" s="798">
        <f t="shared" si="11"/>
        <v>341878</v>
      </c>
      <c r="AC38" s="797">
        <f t="shared" si="11"/>
        <v>286113</v>
      </c>
      <c r="AD38" s="798">
        <f t="shared" si="11"/>
        <v>408901</v>
      </c>
      <c r="AE38" s="797">
        <f t="shared" si="11"/>
        <v>435687</v>
      </c>
      <c r="AF38" s="798">
        <f t="shared" si="11"/>
        <v>695343</v>
      </c>
      <c r="AG38" s="797">
        <f t="shared" si="11"/>
        <v>689342</v>
      </c>
      <c r="AH38" s="798">
        <f t="shared" si="11"/>
        <v>221316</v>
      </c>
      <c r="AI38" s="797">
        <f t="shared" ref="AI38:AU38" si="12">AI36</f>
        <v>193108</v>
      </c>
      <c r="AJ38" s="798">
        <f t="shared" si="12"/>
        <v>231704</v>
      </c>
      <c r="AK38" s="800">
        <f t="shared" si="12"/>
        <v>172692</v>
      </c>
      <c r="AL38" s="801">
        <f t="shared" si="12"/>
        <v>0</v>
      </c>
      <c r="AM38" s="802">
        <f t="shared" si="12"/>
        <v>0</v>
      </c>
      <c r="AN38" s="795">
        <f t="shared" si="12"/>
        <v>2389933</v>
      </c>
      <c r="AO38" s="795">
        <f t="shared" si="12"/>
        <v>2104138</v>
      </c>
      <c r="AP38" s="795">
        <f t="shared" si="12"/>
        <v>63270</v>
      </c>
      <c r="AQ38" s="795">
        <f t="shared" si="12"/>
        <v>53595</v>
      </c>
      <c r="AR38" s="799">
        <f t="shared" si="12"/>
        <v>105395</v>
      </c>
      <c r="AS38" s="795">
        <f t="shared" si="12"/>
        <v>0</v>
      </c>
      <c r="AT38" s="799">
        <f t="shared" si="12"/>
        <v>296726</v>
      </c>
      <c r="AU38" s="795">
        <f t="shared" si="12"/>
        <v>335387</v>
      </c>
      <c r="AV38" s="357">
        <f>SUM(B38+D38+F38+H38+J38+L38+N38+P38+R38+T38+V38+X38+Z38+AB38+AD38+AF38+AH38+AJ38+AL38+AN38+AP38+AR38+AT38)</f>
        <v>79616463</v>
      </c>
      <c r="AW38" s="358">
        <f>SUM(C38+E38+G38+I38+K38+M38+O38+Q38+S38+U38+W38+Y38+AA38+AC38+AE38+AG38+AI38+AK38+AM38+AO38+AQ38+AS38+AU38)</f>
        <v>8737472</v>
      </c>
      <c r="AX38" s="357">
        <f>AX36</f>
        <v>23303604.390000004</v>
      </c>
      <c r="AY38" s="648">
        <f>AY36</f>
        <v>22865490</v>
      </c>
      <c r="AZ38" s="357">
        <f>AV38+AX38</f>
        <v>102920067.39</v>
      </c>
      <c r="BA38" s="647">
        <f>AW38+AY38</f>
        <v>31602962</v>
      </c>
      <c r="BE38" s="351"/>
      <c r="BF38" s="351"/>
    </row>
    <row r="39" spans="1:58" s="71" customFormat="1" ht="14.25" x14ac:dyDescent="0.3">
      <c r="A39" s="58"/>
      <c r="V39" s="89"/>
      <c r="W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</row>
  </sheetData>
  <mergeCells count="29">
    <mergeCell ref="AL3:AM3"/>
    <mergeCell ref="AZ3:BA3"/>
    <mergeCell ref="AN3:AO3"/>
    <mergeCell ref="AP3:AQ3"/>
    <mergeCell ref="AR3:AS3"/>
    <mergeCell ref="AT3:AU3"/>
    <mergeCell ref="AV3:AW3"/>
    <mergeCell ref="AX3:AY3"/>
    <mergeCell ref="AF3:AG3"/>
    <mergeCell ref="V3:W3"/>
    <mergeCell ref="X3:Y3"/>
    <mergeCell ref="Z3:AA3"/>
    <mergeCell ref="A1:AZ1"/>
    <mergeCell ref="A2:AZ2"/>
    <mergeCell ref="A3:A4"/>
    <mergeCell ref="B3:C3"/>
    <mergeCell ref="D3:E3"/>
    <mergeCell ref="F3:G3"/>
    <mergeCell ref="H3:I3"/>
    <mergeCell ref="P3:Q3"/>
    <mergeCell ref="R3:S3"/>
    <mergeCell ref="T3:U3"/>
    <mergeCell ref="AH3:AI3"/>
    <mergeCell ref="AJ3:AK3"/>
    <mergeCell ref="J3:K3"/>
    <mergeCell ref="L3:M3"/>
    <mergeCell ref="N3:O3"/>
    <mergeCell ref="AB3:AC3"/>
    <mergeCell ref="AD3:A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BA14"/>
  <sheetViews>
    <sheetView topLeftCell="A2" workbookViewId="0">
      <pane xSplit="1" topLeftCell="B1" activePane="topRight" state="frozen"/>
      <selection pane="topRight" activeCell="G6" sqref="G6"/>
    </sheetView>
  </sheetViews>
  <sheetFormatPr defaultRowHeight="16.5" x14ac:dyDescent="0.3"/>
  <cols>
    <col min="1" max="1" width="45.42578125" style="1044" bestFit="1" customWidth="1"/>
    <col min="2" max="5" width="10.42578125" style="1044" bestFit="1" customWidth="1"/>
    <col min="6" max="6" width="10.42578125" style="1044" customWidth="1"/>
    <col min="7" max="19" width="10.42578125" style="1044" bestFit="1" customWidth="1"/>
    <col min="20" max="20" width="10.42578125" style="1044" customWidth="1"/>
    <col min="21" max="33" width="10.42578125" style="1044" bestFit="1" customWidth="1"/>
    <col min="34" max="34" width="10.42578125" style="1044" customWidth="1"/>
    <col min="35" max="41" width="10.42578125" style="1044" bestFit="1" customWidth="1"/>
    <col min="42" max="42" width="11.5703125" style="1044" customWidth="1"/>
    <col min="43" max="47" width="10.42578125" style="1044" bestFit="1" customWidth="1"/>
    <col min="48" max="48" width="14.28515625" style="1044" bestFit="1" customWidth="1"/>
    <col min="49" max="49" width="10.42578125" style="1044" bestFit="1" customWidth="1"/>
    <col min="50" max="50" width="11.5703125" style="1044" bestFit="1" customWidth="1"/>
    <col min="51" max="52" width="14.28515625" style="1044" bestFit="1" customWidth="1"/>
    <col min="53" max="53" width="14.28515625" style="1076" bestFit="1" customWidth="1"/>
    <col min="54" max="16384" width="9.140625" style="1044"/>
  </cols>
  <sheetData>
    <row r="1" spans="1:53" s="1035" customFormat="1" ht="17.25" thickBot="1" x14ac:dyDescent="0.4">
      <c r="A1" s="1034" t="s">
        <v>333</v>
      </c>
      <c r="B1" s="1034"/>
      <c r="C1" s="1034"/>
      <c r="D1" s="1034"/>
      <c r="E1" s="1034"/>
      <c r="F1" s="1034"/>
      <c r="G1" s="1034"/>
      <c r="H1" s="1034"/>
      <c r="I1" s="1034"/>
      <c r="J1" s="1034"/>
      <c r="K1" s="1034"/>
      <c r="L1" s="1034"/>
      <c r="M1" s="1034"/>
      <c r="N1" s="1034"/>
      <c r="O1" s="1034"/>
      <c r="P1" s="1034"/>
      <c r="Q1" s="1034"/>
      <c r="R1" s="1034"/>
      <c r="S1" s="1034"/>
      <c r="T1" s="1034"/>
      <c r="U1" s="1034"/>
      <c r="V1" s="1034"/>
      <c r="W1" s="1034"/>
      <c r="X1" s="1034"/>
      <c r="Y1" s="1034"/>
      <c r="Z1" s="1034"/>
      <c r="AA1" s="1034"/>
      <c r="AB1" s="1034"/>
      <c r="AC1" s="1034"/>
      <c r="AD1" s="1034"/>
      <c r="AE1" s="1034"/>
      <c r="AF1" s="1034"/>
      <c r="AG1" s="1034"/>
      <c r="AH1" s="1034"/>
      <c r="AI1" s="1034"/>
      <c r="AJ1" s="1034"/>
      <c r="AK1" s="1034"/>
      <c r="AL1" s="1034"/>
      <c r="AM1" s="1034"/>
      <c r="AN1" s="1034"/>
      <c r="AO1" s="1034"/>
      <c r="AP1" s="1034"/>
      <c r="AQ1" s="1034"/>
      <c r="AR1" s="1034"/>
      <c r="AS1" s="1034"/>
      <c r="AT1" s="1034"/>
      <c r="AU1" s="1034"/>
      <c r="AV1" s="1034"/>
      <c r="AW1" s="1034"/>
      <c r="AX1" s="1034"/>
      <c r="AY1" s="1034"/>
      <c r="AZ1" s="1034"/>
      <c r="BA1" s="1034"/>
    </row>
    <row r="2" spans="1:53" ht="69" customHeight="1" thickBot="1" x14ac:dyDescent="0.35">
      <c r="A2" s="1036" t="s">
        <v>0</v>
      </c>
      <c r="B2" s="1037" t="s">
        <v>113</v>
      </c>
      <c r="C2" s="1038"/>
      <c r="D2" s="1039" t="s">
        <v>114</v>
      </c>
      <c r="E2" s="1040"/>
      <c r="F2" s="1039" t="s">
        <v>115</v>
      </c>
      <c r="G2" s="1040"/>
      <c r="H2" s="1039" t="s">
        <v>116</v>
      </c>
      <c r="I2" s="1040"/>
      <c r="J2" s="1039" t="s">
        <v>117</v>
      </c>
      <c r="K2" s="1040"/>
      <c r="L2" s="1039" t="s">
        <v>118</v>
      </c>
      <c r="M2" s="1040"/>
      <c r="N2" s="1039" t="s">
        <v>218</v>
      </c>
      <c r="O2" s="1040"/>
      <c r="P2" s="1039" t="s">
        <v>119</v>
      </c>
      <c r="Q2" s="1040"/>
      <c r="R2" s="1039" t="s">
        <v>120</v>
      </c>
      <c r="S2" s="1040"/>
      <c r="T2" s="1041" t="s">
        <v>121</v>
      </c>
      <c r="U2" s="1040"/>
      <c r="V2" s="1041" t="s">
        <v>122</v>
      </c>
      <c r="W2" s="1040"/>
      <c r="X2" s="1039" t="s">
        <v>123</v>
      </c>
      <c r="Y2" s="1040"/>
      <c r="Z2" s="1039" t="s">
        <v>224</v>
      </c>
      <c r="AA2" s="1040"/>
      <c r="AB2" s="1039" t="s">
        <v>124</v>
      </c>
      <c r="AC2" s="1040"/>
      <c r="AD2" s="1039" t="s">
        <v>125</v>
      </c>
      <c r="AE2" s="1040"/>
      <c r="AF2" s="1039" t="s">
        <v>126</v>
      </c>
      <c r="AG2" s="1040"/>
      <c r="AH2" s="1039" t="s">
        <v>127</v>
      </c>
      <c r="AI2" s="1040"/>
      <c r="AJ2" s="1039" t="s">
        <v>128</v>
      </c>
      <c r="AK2" s="1040"/>
      <c r="AL2" s="1039" t="s">
        <v>129</v>
      </c>
      <c r="AM2" s="1040"/>
      <c r="AN2" s="1039" t="s">
        <v>130</v>
      </c>
      <c r="AO2" s="1040"/>
      <c r="AP2" s="1039" t="s">
        <v>131</v>
      </c>
      <c r="AQ2" s="1040"/>
      <c r="AR2" s="1039" t="s">
        <v>132</v>
      </c>
      <c r="AS2" s="1040"/>
      <c r="AT2" s="1039" t="s">
        <v>133</v>
      </c>
      <c r="AU2" s="1040"/>
      <c r="AV2" s="1039" t="s">
        <v>1</v>
      </c>
      <c r="AW2" s="1040"/>
      <c r="AX2" s="1039" t="s">
        <v>134</v>
      </c>
      <c r="AY2" s="1040"/>
      <c r="AZ2" s="1042" t="s">
        <v>2</v>
      </c>
      <c r="BA2" s="1043"/>
    </row>
    <row r="3" spans="1:53" s="1049" customFormat="1" ht="36.75" customHeight="1" thickBot="1" x14ac:dyDescent="0.35">
      <c r="A3" s="1045"/>
      <c r="B3" s="1046" t="s">
        <v>332</v>
      </c>
      <c r="C3" s="1047" t="s">
        <v>391</v>
      </c>
      <c r="D3" s="1046" t="s">
        <v>332</v>
      </c>
      <c r="E3" s="1048" t="s">
        <v>391</v>
      </c>
      <c r="F3" s="1046" t="s">
        <v>332</v>
      </c>
      <c r="G3" s="1046" t="s">
        <v>391</v>
      </c>
      <c r="H3" s="1046" t="s">
        <v>332</v>
      </c>
      <c r="I3" s="1046" t="s">
        <v>391</v>
      </c>
      <c r="J3" s="1047" t="s">
        <v>332</v>
      </c>
      <c r="K3" s="1046" t="s">
        <v>391</v>
      </c>
      <c r="L3" s="1047" t="s">
        <v>332</v>
      </c>
      <c r="M3" s="1046" t="s">
        <v>391</v>
      </c>
      <c r="N3" s="1047" t="s">
        <v>332</v>
      </c>
      <c r="O3" s="1046" t="s">
        <v>391</v>
      </c>
      <c r="P3" s="1046" t="s">
        <v>332</v>
      </c>
      <c r="Q3" s="1047" t="s">
        <v>391</v>
      </c>
      <c r="R3" s="1046" t="s">
        <v>332</v>
      </c>
      <c r="S3" s="1048" t="s">
        <v>391</v>
      </c>
      <c r="T3" s="1046" t="s">
        <v>332</v>
      </c>
      <c r="U3" s="1046" t="s">
        <v>391</v>
      </c>
      <c r="V3" s="1046" t="s">
        <v>332</v>
      </c>
      <c r="W3" s="1046" t="s">
        <v>391</v>
      </c>
      <c r="X3" s="1047" t="s">
        <v>332</v>
      </c>
      <c r="Y3" s="1046" t="s">
        <v>391</v>
      </c>
      <c r="Z3" s="1047" t="s">
        <v>332</v>
      </c>
      <c r="AA3" s="1046" t="s">
        <v>391</v>
      </c>
      <c r="AB3" s="1047" t="s">
        <v>332</v>
      </c>
      <c r="AC3" s="1046" t="s">
        <v>391</v>
      </c>
      <c r="AD3" s="1046" t="s">
        <v>332</v>
      </c>
      <c r="AE3" s="1047" t="s">
        <v>391</v>
      </c>
      <c r="AF3" s="1046" t="s">
        <v>332</v>
      </c>
      <c r="AG3" s="1048" t="s">
        <v>391</v>
      </c>
      <c r="AH3" s="1046" t="s">
        <v>332</v>
      </c>
      <c r="AI3" s="1046" t="s">
        <v>391</v>
      </c>
      <c r="AJ3" s="1046" t="s">
        <v>332</v>
      </c>
      <c r="AK3" s="1046" t="s">
        <v>391</v>
      </c>
      <c r="AL3" s="1047" t="s">
        <v>332</v>
      </c>
      <c r="AM3" s="1046" t="s">
        <v>391</v>
      </c>
      <c r="AN3" s="1046" t="s">
        <v>332</v>
      </c>
      <c r="AO3" s="1047" t="s">
        <v>391</v>
      </c>
      <c r="AP3" s="1046" t="s">
        <v>332</v>
      </c>
      <c r="AQ3" s="1048" t="s">
        <v>391</v>
      </c>
      <c r="AR3" s="1046" t="s">
        <v>332</v>
      </c>
      <c r="AS3" s="1046" t="s">
        <v>391</v>
      </c>
      <c r="AT3" s="1046" t="s">
        <v>332</v>
      </c>
      <c r="AU3" s="1046" t="s">
        <v>391</v>
      </c>
      <c r="AV3" s="1047" t="s">
        <v>332</v>
      </c>
      <c r="AW3" s="1046" t="s">
        <v>391</v>
      </c>
      <c r="AX3" s="1047" t="s">
        <v>332</v>
      </c>
      <c r="AY3" s="1046" t="s">
        <v>391</v>
      </c>
      <c r="AZ3" s="1047" t="s">
        <v>332</v>
      </c>
      <c r="BA3" s="1046" t="s">
        <v>391</v>
      </c>
    </row>
    <row r="4" spans="1:53" ht="17.25" thickBot="1" x14ac:dyDescent="0.35">
      <c r="A4" s="1050" t="s">
        <v>184</v>
      </c>
      <c r="B4" s="1051"/>
      <c r="C4" s="1052"/>
      <c r="D4" s="1053"/>
      <c r="E4" s="1054"/>
      <c r="F4" s="1054"/>
      <c r="G4" s="1054"/>
      <c r="H4" s="1054"/>
      <c r="I4" s="1054"/>
      <c r="J4" s="1054"/>
      <c r="K4" s="1054"/>
      <c r="L4" s="1054"/>
      <c r="M4" s="1054"/>
      <c r="N4" s="1054"/>
      <c r="O4" s="1055"/>
      <c r="P4" s="1055"/>
      <c r="Q4" s="1055"/>
      <c r="R4" s="1055"/>
      <c r="S4" s="1056"/>
      <c r="T4" s="1057"/>
      <c r="U4" s="1053"/>
      <c r="V4" s="1057"/>
      <c r="W4" s="1055"/>
      <c r="X4" s="1055"/>
      <c r="Y4" s="1055"/>
      <c r="Z4" s="1055"/>
      <c r="AA4" s="1055"/>
      <c r="AB4" s="1055"/>
      <c r="AC4" s="1055"/>
      <c r="AD4" s="1055"/>
      <c r="AE4" s="1055"/>
      <c r="AF4" s="1055"/>
      <c r="AG4" s="1055"/>
      <c r="AH4" s="1055"/>
      <c r="AI4" s="1055"/>
      <c r="AJ4" s="1055"/>
      <c r="AK4" s="1055"/>
      <c r="AL4" s="1055"/>
      <c r="AM4" s="1055"/>
      <c r="AN4" s="1055"/>
      <c r="AO4" s="1055"/>
      <c r="AP4" s="1055"/>
      <c r="AQ4" s="1055"/>
      <c r="AR4" s="1055"/>
      <c r="AS4" s="1055"/>
      <c r="AT4" s="1055"/>
      <c r="AU4" s="1055"/>
      <c r="AV4" s="1055">
        <f t="shared" ref="AV4:AW14" si="0">SUM(B4+D4+F4+H4+J4+L4+N4+P4+R4+T4+V4+X4+Z4+AB4+AD4+AF4+AH4+AJ4+AL4+AN4+AP4+AR4+AT4)</f>
        <v>0</v>
      </c>
      <c r="AW4" s="1056">
        <f t="shared" si="0"/>
        <v>0</v>
      </c>
      <c r="AX4" s="1055"/>
      <c r="AY4" s="1055"/>
      <c r="AZ4" s="1056">
        <f t="shared" ref="AZ4:BA14" si="1">AV4+AX4</f>
        <v>0</v>
      </c>
      <c r="BA4" s="1056">
        <f t="shared" si="1"/>
        <v>0</v>
      </c>
    </row>
    <row r="5" spans="1:53" ht="17.25" thickBot="1" x14ac:dyDescent="0.35">
      <c r="A5" s="1058" t="s">
        <v>185</v>
      </c>
      <c r="B5" s="1058">
        <v>6829</v>
      </c>
      <c r="C5" s="1059">
        <v>6829</v>
      </c>
      <c r="D5" s="1060"/>
      <c r="E5" s="1061"/>
      <c r="F5" s="1061"/>
      <c r="G5" s="1061"/>
      <c r="H5" s="1061"/>
      <c r="I5" s="1061"/>
      <c r="J5" s="1061"/>
      <c r="K5" s="1061"/>
      <c r="L5" s="1061"/>
      <c r="M5" s="1061"/>
      <c r="N5" s="1061"/>
      <c r="O5" s="1061"/>
      <c r="P5" s="1061"/>
      <c r="Q5" s="1061"/>
      <c r="R5" s="1061"/>
      <c r="S5" s="1060"/>
      <c r="T5" s="1062"/>
      <c r="U5" s="1060"/>
      <c r="V5" s="1062"/>
      <c r="W5" s="1061"/>
      <c r="X5" s="1061"/>
      <c r="Y5" s="1061"/>
      <c r="Z5" s="1061"/>
      <c r="AA5" s="1061"/>
      <c r="AB5" s="1061"/>
      <c r="AC5" s="1061"/>
      <c r="AD5" s="1061"/>
      <c r="AE5" s="1061"/>
      <c r="AF5" s="1061">
        <v>2588</v>
      </c>
      <c r="AG5" s="1061">
        <v>2588</v>
      </c>
      <c r="AH5" s="1061"/>
      <c r="AI5" s="1061"/>
      <c r="AJ5" s="1061"/>
      <c r="AK5" s="1061"/>
      <c r="AL5" s="1061"/>
      <c r="AM5" s="1061"/>
      <c r="AN5" s="1061"/>
      <c r="AO5" s="1061"/>
      <c r="AP5" s="1061"/>
      <c r="AQ5" s="1061"/>
      <c r="AR5" s="1061"/>
      <c r="AS5" s="1061"/>
      <c r="AT5" s="1061"/>
      <c r="AU5" s="1061"/>
      <c r="AV5" s="1054">
        <f t="shared" si="0"/>
        <v>9417</v>
      </c>
      <c r="AW5" s="1056">
        <f t="shared" si="0"/>
        <v>9417</v>
      </c>
      <c r="AX5" s="1054"/>
      <c r="AY5" s="1061"/>
      <c r="AZ5" s="1060">
        <f t="shared" si="1"/>
        <v>9417</v>
      </c>
      <c r="BA5" s="1060">
        <f t="shared" si="1"/>
        <v>9417</v>
      </c>
    </row>
    <row r="6" spans="1:53" x14ac:dyDescent="0.3">
      <c r="A6" s="1058" t="s">
        <v>186</v>
      </c>
      <c r="B6" s="1058">
        <v>20000</v>
      </c>
      <c r="C6" s="1059">
        <v>42298</v>
      </c>
      <c r="D6" s="1060">
        <v>106061</v>
      </c>
      <c r="E6" s="1063">
        <v>135593</v>
      </c>
      <c r="F6" s="1063"/>
      <c r="G6" s="1061"/>
      <c r="H6" s="1061">
        <v>105996</v>
      </c>
      <c r="I6" s="1061">
        <v>105996</v>
      </c>
      <c r="J6" s="1061">
        <v>20744</v>
      </c>
      <c r="K6" s="1061">
        <v>20744</v>
      </c>
      <c r="L6" s="1061">
        <v>12500</v>
      </c>
      <c r="M6" s="1061">
        <v>12500</v>
      </c>
      <c r="N6" s="1061">
        <v>83292</v>
      </c>
      <c r="O6" s="1061">
        <v>83292</v>
      </c>
      <c r="P6" s="1061">
        <v>171192</v>
      </c>
      <c r="Q6" s="1061">
        <v>171192</v>
      </c>
      <c r="R6" s="1061"/>
      <c r="S6" s="1060"/>
      <c r="T6" s="1062">
        <v>10000</v>
      </c>
      <c r="U6" s="1060">
        <v>10000</v>
      </c>
      <c r="V6" s="1062">
        <v>64511</v>
      </c>
      <c r="W6" s="1061">
        <v>370954</v>
      </c>
      <c r="X6" s="1061">
        <v>348180</v>
      </c>
      <c r="Y6" s="1061">
        <v>352961</v>
      </c>
      <c r="Z6" s="1061"/>
      <c r="AA6" s="1061"/>
      <c r="AB6" s="1061">
        <v>27000</v>
      </c>
      <c r="AC6" s="1061">
        <v>67909</v>
      </c>
      <c r="AD6" s="1061">
        <v>5204</v>
      </c>
      <c r="AE6" s="1061">
        <v>5204</v>
      </c>
      <c r="AF6" s="1061">
        <v>6617</v>
      </c>
      <c r="AG6" s="1061">
        <v>6617</v>
      </c>
      <c r="AH6" s="1061"/>
      <c r="AI6" s="1061"/>
      <c r="AJ6" s="1061">
        <v>30316</v>
      </c>
      <c r="AK6" s="1061">
        <v>30316</v>
      </c>
      <c r="AL6" s="1061"/>
      <c r="AM6" s="1061"/>
      <c r="AN6" s="1061">
        <v>1728</v>
      </c>
      <c r="AO6" s="1061">
        <v>5313</v>
      </c>
      <c r="AP6" s="1061">
        <v>368.89</v>
      </c>
      <c r="AQ6" s="1061">
        <v>395</v>
      </c>
      <c r="AR6" s="1061">
        <v>26861</v>
      </c>
      <c r="AS6" s="1061"/>
      <c r="AT6" s="1061"/>
      <c r="AU6" s="1061"/>
      <c r="AV6" s="1054">
        <f t="shared" si="0"/>
        <v>1040570.89</v>
      </c>
      <c r="AW6" s="1056">
        <f t="shared" si="0"/>
        <v>1421284</v>
      </c>
      <c r="AX6" s="1054"/>
      <c r="AY6" s="1061"/>
      <c r="AZ6" s="1060">
        <f t="shared" si="1"/>
        <v>1040570.89</v>
      </c>
      <c r="BA6" s="1060">
        <f t="shared" si="1"/>
        <v>1421284</v>
      </c>
    </row>
    <row r="7" spans="1:53" x14ac:dyDescent="0.3">
      <c r="A7" s="1058" t="s">
        <v>187</v>
      </c>
      <c r="B7" s="1058"/>
      <c r="C7" s="1059"/>
      <c r="D7" s="1060"/>
      <c r="E7" s="1063"/>
      <c r="F7" s="1063"/>
      <c r="G7" s="1061"/>
      <c r="H7" s="1061">
        <v>5148</v>
      </c>
      <c r="I7" s="1061">
        <v>5263</v>
      </c>
      <c r="J7" s="1061">
        <v>459</v>
      </c>
      <c r="K7" s="1061">
        <v>450</v>
      </c>
      <c r="L7" s="1061"/>
      <c r="M7" s="1061"/>
      <c r="N7" s="1061"/>
      <c r="O7" s="1061"/>
      <c r="P7" s="1061"/>
      <c r="Q7" s="1061">
        <v>196</v>
      </c>
      <c r="R7" s="1061"/>
      <c r="S7" s="1060"/>
      <c r="T7" s="1062"/>
      <c r="U7" s="1060"/>
      <c r="V7" s="1062"/>
      <c r="W7" s="1061"/>
      <c r="X7" s="1061">
        <v>2335</v>
      </c>
      <c r="Y7" s="1061">
        <v>3143</v>
      </c>
      <c r="Z7" s="1061"/>
      <c r="AA7" s="1061"/>
      <c r="AB7" s="1061"/>
      <c r="AC7" s="1061"/>
      <c r="AD7" s="1061"/>
      <c r="AE7" s="1061"/>
      <c r="AF7" s="1061"/>
      <c r="AG7" s="1061"/>
      <c r="AH7" s="1061">
        <v>434</v>
      </c>
      <c r="AI7" s="1061">
        <v>426</v>
      </c>
      <c r="AJ7" s="1061"/>
      <c r="AK7" s="1061"/>
      <c r="AL7" s="1061"/>
      <c r="AM7" s="1061"/>
      <c r="AN7" s="1061"/>
      <c r="AO7" s="1061"/>
      <c r="AP7" s="1061"/>
      <c r="AQ7" s="1061"/>
      <c r="AR7" s="1061"/>
      <c r="AS7" s="1061"/>
      <c r="AT7" s="1061">
        <v>2596</v>
      </c>
      <c r="AU7" s="1061">
        <v>5866</v>
      </c>
      <c r="AV7" s="1061">
        <f t="shared" si="0"/>
        <v>10972</v>
      </c>
      <c r="AW7" s="1060">
        <f t="shared" si="0"/>
        <v>15344</v>
      </c>
      <c r="AX7" s="1061"/>
      <c r="AY7" s="1061"/>
      <c r="AZ7" s="1060">
        <f t="shared" si="1"/>
        <v>10972</v>
      </c>
      <c r="BA7" s="1060">
        <f t="shared" si="1"/>
        <v>15344</v>
      </c>
    </row>
    <row r="8" spans="1:53" x14ac:dyDescent="0.3">
      <c r="A8" s="1058" t="s">
        <v>188</v>
      </c>
      <c r="B8" s="1058">
        <v>4061</v>
      </c>
      <c r="C8" s="1059">
        <v>4061</v>
      </c>
      <c r="D8" s="1060"/>
      <c r="E8" s="1063"/>
      <c r="F8" s="1063"/>
      <c r="G8" s="1061"/>
      <c r="H8" s="1061"/>
      <c r="I8" s="1061"/>
      <c r="J8" s="1061"/>
      <c r="K8" s="1061"/>
      <c r="L8" s="1061"/>
      <c r="M8" s="1061"/>
      <c r="N8" s="1061"/>
      <c r="O8" s="1061"/>
      <c r="P8" s="1061"/>
      <c r="Q8" s="1061"/>
      <c r="R8" s="1061"/>
      <c r="S8" s="1060"/>
      <c r="T8" s="1062"/>
      <c r="U8" s="1060"/>
      <c r="V8" s="1062"/>
      <c r="W8" s="1061"/>
      <c r="X8" s="1061"/>
      <c r="Y8" s="1061"/>
      <c r="Z8" s="1061"/>
      <c r="AA8" s="1061"/>
      <c r="AB8" s="1061"/>
      <c r="AC8" s="1061"/>
      <c r="AD8" s="1061"/>
      <c r="AE8" s="1061"/>
      <c r="AF8" s="1061"/>
      <c r="AG8" s="1061"/>
      <c r="AH8" s="1061"/>
      <c r="AI8" s="1061"/>
      <c r="AJ8" s="1061"/>
      <c r="AK8" s="1061"/>
      <c r="AL8" s="1061"/>
      <c r="AM8" s="1061"/>
      <c r="AN8" s="1061"/>
      <c r="AO8" s="1061"/>
      <c r="AP8" s="1061"/>
      <c r="AQ8" s="1061"/>
      <c r="AR8" s="1061"/>
      <c r="AS8" s="1061"/>
      <c r="AT8" s="1061"/>
      <c r="AU8" s="1061"/>
      <c r="AV8" s="1061">
        <f t="shared" si="0"/>
        <v>4061</v>
      </c>
      <c r="AW8" s="1060">
        <f t="shared" si="0"/>
        <v>4061</v>
      </c>
      <c r="AX8" s="1061">
        <v>2942.14</v>
      </c>
      <c r="AY8" s="1061">
        <f>AX8</f>
        <v>2942.14</v>
      </c>
      <c r="AZ8" s="1060">
        <f t="shared" si="1"/>
        <v>7003.1399999999994</v>
      </c>
      <c r="BA8" s="1060">
        <f t="shared" si="1"/>
        <v>7003.1399999999994</v>
      </c>
    </row>
    <row r="9" spans="1:53" x14ac:dyDescent="0.3">
      <c r="A9" s="1058" t="s">
        <v>189</v>
      </c>
      <c r="B9" s="1058"/>
      <c r="C9" s="1059"/>
      <c r="D9" s="1060"/>
      <c r="E9" s="1063"/>
      <c r="F9" s="1063"/>
      <c r="G9" s="1061"/>
      <c r="H9" s="1061"/>
      <c r="I9" s="1061"/>
      <c r="J9" s="1061"/>
      <c r="K9" s="1061"/>
      <c r="L9" s="1061"/>
      <c r="M9" s="1061"/>
      <c r="N9" s="1061"/>
      <c r="O9" s="1061"/>
      <c r="P9" s="1061"/>
      <c r="Q9" s="1061"/>
      <c r="R9" s="1061"/>
      <c r="S9" s="1060"/>
      <c r="T9" s="1062"/>
      <c r="U9" s="1060"/>
      <c r="V9" s="1062"/>
      <c r="W9" s="1061"/>
      <c r="X9" s="1061"/>
      <c r="Y9" s="1061"/>
      <c r="Z9" s="1061"/>
      <c r="AA9" s="1061"/>
      <c r="AB9" s="1061"/>
      <c r="AC9" s="1061"/>
      <c r="AD9" s="1061"/>
      <c r="AE9" s="1061"/>
      <c r="AF9" s="1061"/>
      <c r="AG9" s="1061"/>
      <c r="AH9" s="1061"/>
      <c r="AI9" s="1061"/>
      <c r="AJ9" s="1061"/>
      <c r="AK9" s="1061"/>
      <c r="AL9" s="1061"/>
      <c r="AM9" s="1061"/>
      <c r="AN9" s="1061"/>
      <c r="AO9" s="1061"/>
      <c r="AP9" s="1061"/>
      <c r="AQ9" s="1061"/>
      <c r="AR9" s="1061"/>
      <c r="AS9" s="1061"/>
      <c r="AT9" s="1061"/>
      <c r="AU9" s="1061"/>
      <c r="AV9" s="1061">
        <f t="shared" si="0"/>
        <v>0</v>
      </c>
      <c r="AW9" s="1060">
        <f t="shared" si="0"/>
        <v>0</v>
      </c>
      <c r="AX9" s="1061"/>
      <c r="AY9" s="1061"/>
      <c r="AZ9" s="1060">
        <f t="shared" si="1"/>
        <v>0</v>
      </c>
      <c r="BA9" s="1060">
        <f t="shared" si="1"/>
        <v>0</v>
      </c>
    </row>
    <row r="10" spans="1:53" x14ac:dyDescent="0.3">
      <c r="A10" s="1058" t="s">
        <v>190</v>
      </c>
      <c r="B10" s="1058"/>
      <c r="C10" s="1059"/>
      <c r="D10" s="1060"/>
      <c r="E10" s="1063"/>
      <c r="F10" s="1063"/>
      <c r="G10" s="1061"/>
      <c r="H10" s="1061"/>
      <c r="I10" s="1061"/>
      <c r="J10" s="1061"/>
      <c r="K10" s="1061"/>
      <c r="L10" s="1061"/>
      <c r="M10" s="1061"/>
      <c r="N10" s="1061"/>
      <c r="O10" s="1061"/>
      <c r="P10" s="1061"/>
      <c r="Q10" s="1061"/>
      <c r="R10" s="1061"/>
      <c r="S10" s="1060"/>
      <c r="T10" s="1062"/>
      <c r="U10" s="1060"/>
      <c r="V10" s="1062"/>
      <c r="W10" s="1061"/>
      <c r="X10" s="1061"/>
      <c r="Y10" s="1061"/>
      <c r="Z10" s="1061"/>
      <c r="AA10" s="1061"/>
      <c r="AB10" s="1061"/>
      <c r="AC10" s="1061"/>
      <c r="AD10" s="1061"/>
      <c r="AE10" s="1061"/>
      <c r="AF10" s="1061"/>
      <c r="AG10" s="1061"/>
      <c r="AH10" s="1061"/>
      <c r="AI10" s="1061"/>
      <c r="AJ10" s="1061"/>
      <c r="AK10" s="1061"/>
      <c r="AL10" s="1061"/>
      <c r="AM10" s="1061"/>
      <c r="AN10" s="1061"/>
      <c r="AO10" s="1061"/>
      <c r="AP10" s="1061"/>
      <c r="AQ10" s="1061"/>
      <c r="AR10" s="1061"/>
      <c r="AS10" s="1061"/>
      <c r="AT10" s="1061"/>
      <c r="AU10" s="1061"/>
      <c r="AV10" s="1061">
        <f t="shared" si="0"/>
        <v>0</v>
      </c>
      <c r="AW10" s="1060">
        <f t="shared" si="0"/>
        <v>0</v>
      </c>
      <c r="AX10" s="1061"/>
      <c r="AY10" s="1061"/>
      <c r="AZ10" s="1060">
        <f t="shared" si="1"/>
        <v>0</v>
      </c>
      <c r="BA10" s="1060">
        <f t="shared" si="1"/>
        <v>0</v>
      </c>
    </row>
    <row r="11" spans="1:53" x14ac:dyDescent="0.3">
      <c r="A11" s="1058" t="s">
        <v>191</v>
      </c>
      <c r="B11" s="1058"/>
      <c r="C11" s="1059"/>
      <c r="D11" s="1060"/>
      <c r="E11" s="1063"/>
      <c r="F11" s="1063"/>
      <c r="G11" s="1061"/>
      <c r="H11" s="1061"/>
      <c r="I11" s="1061"/>
      <c r="J11" s="1061"/>
      <c r="K11" s="1061"/>
      <c r="L11" s="1061"/>
      <c r="M11" s="1061"/>
      <c r="N11" s="1061"/>
      <c r="O11" s="1061"/>
      <c r="P11" s="1061"/>
      <c r="Q11" s="1061"/>
      <c r="R11" s="1061"/>
      <c r="S11" s="1060"/>
      <c r="T11" s="1062"/>
      <c r="U11" s="1060"/>
      <c r="V11" s="1062"/>
      <c r="W11" s="1061"/>
      <c r="X11" s="1061"/>
      <c r="Y11" s="1061"/>
      <c r="Z11" s="1061"/>
      <c r="AA11" s="1061"/>
      <c r="AB11" s="1061"/>
      <c r="AC11" s="1061"/>
      <c r="AD11" s="1061"/>
      <c r="AE11" s="1061"/>
      <c r="AF11" s="1061"/>
      <c r="AG11" s="1061"/>
      <c r="AH11" s="1061"/>
      <c r="AI11" s="1061"/>
      <c r="AJ11" s="1061"/>
      <c r="AK11" s="1061"/>
      <c r="AL11" s="1061"/>
      <c r="AM11" s="1061"/>
      <c r="AN11" s="1061"/>
      <c r="AO11" s="1061"/>
      <c r="AP11" s="1061"/>
      <c r="AQ11" s="1061"/>
      <c r="AR11" s="1061"/>
      <c r="AS11" s="1061"/>
      <c r="AT11" s="1061"/>
      <c r="AU11" s="1061"/>
      <c r="AV11" s="1061">
        <f t="shared" si="0"/>
        <v>0</v>
      </c>
      <c r="AW11" s="1060">
        <f t="shared" si="0"/>
        <v>0</v>
      </c>
      <c r="AX11" s="1061"/>
      <c r="AY11" s="1061"/>
      <c r="AZ11" s="1060">
        <f t="shared" si="1"/>
        <v>0</v>
      </c>
      <c r="BA11" s="1060">
        <f t="shared" si="1"/>
        <v>0</v>
      </c>
    </row>
    <row r="12" spans="1:53" x14ac:dyDescent="0.3">
      <c r="A12" s="1058" t="s">
        <v>192</v>
      </c>
      <c r="B12" s="1058">
        <v>11109</v>
      </c>
      <c r="C12" s="1059">
        <v>10453</v>
      </c>
      <c r="D12" s="1060"/>
      <c r="E12" s="1063"/>
      <c r="F12" s="1063"/>
      <c r="G12" s="1061"/>
      <c r="H12" s="1061"/>
      <c r="I12" s="1061"/>
      <c r="J12" s="1061"/>
      <c r="K12" s="1061"/>
      <c r="L12" s="1061"/>
      <c r="M12" s="1061"/>
      <c r="N12" s="1061"/>
      <c r="O12" s="1061"/>
      <c r="P12" s="1061"/>
      <c r="Q12" s="1061"/>
      <c r="R12" s="1061"/>
      <c r="S12" s="1060"/>
      <c r="T12" s="1062"/>
      <c r="U12" s="1060"/>
      <c r="V12" s="1062"/>
      <c r="W12" s="1061"/>
      <c r="X12" s="1061"/>
      <c r="Y12" s="1061"/>
      <c r="Z12" s="1061"/>
      <c r="AA12" s="1061"/>
      <c r="AB12" s="1061">
        <v>1000</v>
      </c>
      <c r="AC12" s="1061">
        <v>1000</v>
      </c>
      <c r="AD12" s="1061"/>
      <c r="AE12" s="1061"/>
      <c r="AF12" s="1061">
        <f>14581+992</f>
        <v>15573</v>
      </c>
      <c r="AG12" s="1061">
        <f>6459+1984</f>
        <v>8443</v>
      </c>
      <c r="AH12" s="1061"/>
      <c r="AI12" s="1061"/>
      <c r="AJ12" s="1061"/>
      <c r="AK12" s="1061"/>
      <c r="AL12" s="1061"/>
      <c r="AM12" s="1061"/>
      <c r="AN12" s="1061">
        <v>96</v>
      </c>
      <c r="AO12" s="1061">
        <v>161</v>
      </c>
      <c r="AP12" s="1061"/>
      <c r="AQ12" s="1061"/>
      <c r="AR12" s="1061">
        <v>1250</v>
      </c>
      <c r="AS12" s="1061"/>
      <c r="AT12" s="1061"/>
      <c r="AU12" s="1061">
        <v>4880</v>
      </c>
      <c r="AV12" s="1061">
        <f t="shared" si="0"/>
        <v>29028</v>
      </c>
      <c r="AW12" s="1060">
        <f t="shared" si="0"/>
        <v>24937</v>
      </c>
      <c r="AX12" s="1061">
        <v>-69.39</v>
      </c>
      <c r="AY12" s="1061">
        <v>-42.55</v>
      </c>
      <c r="AZ12" s="1060">
        <f t="shared" si="1"/>
        <v>28958.61</v>
      </c>
      <c r="BA12" s="1060">
        <f t="shared" si="1"/>
        <v>24894.45</v>
      </c>
    </row>
    <row r="13" spans="1:53" ht="17.25" thickBot="1" x14ac:dyDescent="0.35">
      <c r="A13" s="1064" t="s">
        <v>193</v>
      </c>
      <c r="B13" s="1064">
        <v>13354</v>
      </c>
      <c r="C13" s="1065">
        <v>26442</v>
      </c>
      <c r="D13" s="1066"/>
      <c r="E13" s="1067"/>
      <c r="F13" s="1067"/>
      <c r="G13" s="1068"/>
      <c r="H13" s="1068">
        <v>921523</v>
      </c>
      <c r="I13" s="1068">
        <v>931299</v>
      </c>
      <c r="J13" s="1068"/>
      <c r="K13" s="1068"/>
      <c r="L13" s="1068">
        <v>6085</v>
      </c>
      <c r="M13" s="1068">
        <v>12289</v>
      </c>
      <c r="N13" s="1068"/>
      <c r="O13" s="1068"/>
      <c r="P13" s="1068"/>
      <c r="Q13" s="1068"/>
      <c r="R13" s="1068"/>
      <c r="S13" s="1066"/>
      <c r="T13" s="1069"/>
      <c r="U13" s="1066"/>
      <c r="V13" s="1069">
        <v>637109</v>
      </c>
      <c r="W13" s="1068">
        <v>673950</v>
      </c>
      <c r="X13" s="1068">
        <v>388564</v>
      </c>
      <c r="Y13" s="1068">
        <v>457170</v>
      </c>
      <c r="Z13" s="1068">
        <v>16479</v>
      </c>
      <c r="AA13" s="1068">
        <v>23030</v>
      </c>
      <c r="AB13" s="1068"/>
      <c r="AC13" s="1068"/>
      <c r="AD13" s="1068">
        <v>345755</v>
      </c>
      <c r="AE13" s="1068">
        <v>456004</v>
      </c>
      <c r="AF13" s="1068">
        <v>89592</v>
      </c>
      <c r="AG13" s="1068">
        <v>140806</v>
      </c>
      <c r="AH13" s="1068"/>
      <c r="AI13" s="1068"/>
      <c r="AJ13" s="1068"/>
      <c r="AK13" s="1068"/>
      <c r="AL13" s="1068"/>
      <c r="AM13" s="1068"/>
      <c r="AN13" s="1068">
        <v>992200</v>
      </c>
      <c r="AO13" s="1068">
        <v>1133780</v>
      </c>
      <c r="AP13" s="1068">
        <v>45382.64</v>
      </c>
      <c r="AQ13" s="1068">
        <v>53470</v>
      </c>
      <c r="AR13" s="1068">
        <v>4237</v>
      </c>
      <c r="AS13" s="1068"/>
      <c r="AT13" s="1068"/>
      <c r="AU13" s="1068">
        <v>14694</v>
      </c>
      <c r="AV13" s="1068">
        <f t="shared" si="0"/>
        <v>3460280.64</v>
      </c>
      <c r="AW13" s="1066">
        <f t="shared" si="0"/>
        <v>3922934</v>
      </c>
      <c r="AX13" s="1068">
        <v>164278.1</v>
      </c>
      <c r="AY13" s="1068">
        <v>2603516.17</v>
      </c>
      <c r="AZ13" s="1066">
        <f t="shared" si="1"/>
        <v>3624558.74</v>
      </c>
      <c r="BA13" s="1066">
        <f t="shared" si="1"/>
        <v>6526450.1699999999</v>
      </c>
    </row>
    <row r="14" spans="1:53" s="1075" customFormat="1" ht="17.25" thickBot="1" x14ac:dyDescent="0.4">
      <c r="A14" s="1070" t="s">
        <v>54</v>
      </c>
      <c r="B14" s="1070">
        <f>SUM(B5:B13)</f>
        <v>55353</v>
      </c>
      <c r="C14" s="1070">
        <f t="shared" ref="C14:AU14" si="2">SUM(C4:C13)</f>
        <v>90083</v>
      </c>
      <c r="D14" s="1071">
        <f>SUM(D4:D13)</f>
        <v>106061</v>
      </c>
      <c r="E14" s="1072">
        <f t="shared" si="2"/>
        <v>135593</v>
      </c>
      <c r="F14" s="1072">
        <f>SUM(F4:F13)</f>
        <v>0</v>
      </c>
      <c r="G14" s="1073">
        <f t="shared" si="2"/>
        <v>0</v>
      </c>
      <c r="H14" s="1073">
        <f>SUM(H4:H13)</f>
        <v>1032667</v>
      </c>
      <c r="I14" s="1073">
        <f t="shared" si="2"/>
        <v>1042558</v>
      </c>
      <c r="J14" s="1073">
        <f>SUM(J4:J13)</f>
        <v>21203</v>
      </c>
      <c r="K14" s="1073">
        <f t="shared" si="2"/>
        <v>21194</v>
      </c>
      <c r="L14" s="1073">
        <f>SUM(L4:L13)</f>
        <v>18585</v>
      </c>
      <c r="M14" s="1073">
        <f t="shared" si="2"/>
        <v>24789</v>
      </c>
      <c r="N14" s="1073">
        <f>SUM(N4:N13)</f>
        <v>83292</v>
      </c>
      <c r="O14" s="1073">
        <f t="shared" si="2"/>
        <v>83292</v>
      </c>
      <c r="P14" s="1073">
        <f>SUM(P4:P13)</f>
        <v>171192</v>
      </c>
      <c r="Q14" s="1073">
        <f t="shared" si="2"/>
        <v>171388</v>
      </c>
      <c r="R14" s="1073">
        <f>SUM(R4:R13)</f>
        <v>0</v>
      </c>
      <c r="S14" s="1073">
        <f t="shared" si="2"/>
        <v>0</v>
      </c>
      <c r="T14" s="1074">
        <f>SUM(T4:T13)</f>
        <v>10000</v>
      </c>
      <c r="U14" s="1071">
        <f t="shared" si="2"/>
        <v>10000</v>
      </c>
      <c r="V14" s="1074">
        <f>SUM(V4:V13)</f>
        <v>701620</v>
      </c>
      <c r="W14" s="1072">
        <f t="shared" si="2"/>
        <v>1044904</v>
      </c>
      <c r="X14" s="1072">
        <f>SUM(X4:X13)</f>
        <v>739079</v>
      </c>
      <c r="Y14" s="1072">
        <f t="shared" si="2"/>
        <v>813274</v>
      </c>
      <c r="Z14" s="1072">
        <f>SUM(Z4:Z13)</f>
        <v>16479</v>
      </c>
      <c r="AA14" s="1072">
        <f t="shared" si="2"/>
        <v>23030</v>
      </c>
      <c r="AB14" s="1072">
        <f>SUM(AB4:AB13)</f>
        <v>28000</v>
      </c>
      <c r="AC14" s="1072">
        <f t="shared" si="2"/>
        <v>68909</v>
      </c>
      <c r="AD14" s="1072">
        <f>SUM(AD4:AD13)</f>
        <v>350959</v>
      </c>
      <c r="AE14" s="1072">
        <f t="shared" si="2"/>
        <v>461208</v>
      </c>
      <c r="AF14" s="1072">
        <f>SUM(AF4:AF13)</f>
        <v>114370</v>
      </c>
      <c r="AG14" s="1072">
        <f t="shared" si="2"/>
        <v>158454</v>
      </c>
      <c r="AH14" s="1072">
        <f>SUM(AH4:AH13)</f>
        <v>434</v>
      </c>
      <c r="AI14" s="1072">
        <f t="shared" si="2"/>
        <v>426</v>
      </c>
      <c r="AJ14" s="1072">
        <f>SUM(AJ4:AJ13)</f>
        <v>30316</v>
      </c>
      <c r="AK14" s="1072">
        <f t="shared" si="2"/>
        <v>30316</v>
      </c>
      <c r="AL14" s="1072">
        <f>SUM(AL4:AL13)</f>
        <v>0</v>
      </c>
      <c r="AM14" s="1072">
        <f t="shared" si="2"/>
        <v>0</v>
      </c>
      <c r="AN14" s="1072">
        <f>SUM(AN4:AN13)</f>
        <v>994024</v>
      </c>
      <c r="AO14" s="1072">
        <f>SUM(AO4:AO13)</f>
        <v>1139254</v>
      </c>
      <c r="AP14" s="1072">
        <f>SUM(AP4:AP13)</f>
        <v>45751.53</v>
      </c>
      <c r="AQ14" s="1072">
        <f t="shared" si="2"/>
        <v>53865</v>
      </c>
      <c r="AR14" s="1072">
        <f>SUM(AR4:AR13)</f>
        <v>32348</v>
      </c>
      <c r="AS14" s="1072">
        <f t="shared" si="2"/>
        <v>0</v>
      </c>
      <c r="AT14" s="1072">
        <f>SUM(AT4:AT13)</f>
        <v>2596</v>
      </c>
      <c r="AU14" s="1073">
        <f t="shared" si="2"/>
        <v>25440</v>
      </c>
      <c r="AV14" s="1072">
        <f t="shared" si="0"/>
        <v>4554329.53</v>
      </c>
      <c r="AW14" s="1071">
        <f t="shared" si="0"/>
        <v>5397977</v>
      </c>
      <c r="AX14" s="1072">
        <f>SUM(AX4:AX13)</f>
        <v>167150.85</v>
      </c>
      <c r="AY14" s="1072">
        <v>2606415.7599999998</v>
      </c>
      <c r="AZ14" s="1071">
        <f t="shared" si="1"/>
        <v>4721480.38</v>
      </c>
      <c r="BA14" s="1071">
        <f t="shared" si="1"/>
        <v>8004392.7599999998</v>
      </c>
    </row>
  </sheetData>
  <mergeCells count="28">
    <mergeCell ref="A2:A3"/>
    <mergeCell ref="A1:B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B2:AC2"/>
    <mergeCell ref="AD2:AE2"/>
    <mergeCell ref="Z2:AA2"/>
    <mergeCell ref="X2:Y2"/>
    <mergeCell ref="AT2:AU2"/>
    <mergeCell ref="AF2:AG2"/>
    <mergeCell ref="AH2:AI2"/>
    <mergeCell ref="AV2:AW2"/>
    <mergeCell ref="AZ2:BA2"/>
    <mergeCell ref="AX2:AY2"/>
    <mergeCell ref="AJ2:AK2"/>
    <mergeCell ref="AL2:AM2"/>
    <mergeCell ref="AN2:AO2"/>
    <mergeCell ref="AP2:AQ2"/>
    <mergeCell ref="AR2:AS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A8"/>
  <sheetViews>
    <sheetView workbookViewId="0">
      <pane xSplit="1" topLeftCell="B1" activePane="topRight" state="frozen"/>
      <selection pane="topRight" activeCell="B5" sqref="B5"/>
    </sheetView>
  </sheetViews>
  <sheetFormatPr defaultRowHeight="16.5" x14ac:dyDescent="0.3"/>
  <cols>
    <col min="1" max="1" width="51.7109375" style="1044" bestFit="1" customWidth="1"/>
    <col min="2" max="4" width="10.42578125" style="1044" bestFit="1" customWidth="1"/>
    <col min="5" max="5" width="10.42578125" style="1044" customWidth="1"/>
    <col min="6" max="13" width="10.42578125" style="1044" bestFit="1" customWidth="1"/>
    <col min="14" max="14" width="10.42578125" style="1044" customWidth="1"/>
    <col min="15" max="15" width="10.42578125" style="1044" bestFit="1" customWidth="1"/>
    <col min="16" max="17" width="10.42578125" style="1044" customWidth="1"/>
    <col min="18" max="18" width="11" style="1044" bestFit="1" customWidth="1"/>
    <col min="19" max="24" width="10.42578125" style="1044" bestFit="1" customWidth="1"/>
    <col min="25" max="25" width="10.85546875" style="1044" bestFit="1" customWidth="1"/>
    <col min="26" max="26" width="10.42578125" style="1044" customWidth="1"/>
    <col min="27" max="27" width="10.42578125" style="1044" bestFit="1" customWidth="1"/>
    <col min="28" max="16384" width="9.140625" style="1044"/>
  </cols>
  <sheetData>
    <row r="1" spans="1:27" s="1035" customFormat="1" ht="17.25" thickBot="1" x14ac:dyDescent="0.4">
      <c r="A1" s="1077" t="s">
        <v>369</v>
      </c>
    </row>
    <row r="2" spans="1:27" ht="129" thickBot="1" x14ac:dyDescent="0.35">
      <c r="A2" s="1078" t="s">
        <v>0</v>
      </c>
      <c r="B2" s="1079" t="s">
        <v>113</v>
      </c>
      <c r="C2" s="1080" t="s">
        <v>114</v>
      </c>
      <c r="D2" s="1080" t="s">
        <v>115</v>
      </c>
      <c r="E2" s="1080" t="s">
        <v>116</v>
      </c>
      <c r="F2" s="1080" t="s">
        <v>117</v>
      </c>
      <c r="G2" s="1080" t="s">
        <v>118</v>
      </c>
      <c r="H2" s="1080" t="s">
        <v>218</v>
      </c>
      <c r="I2" s="1080" t="s">
        <v>119</v>
      </c>
      <c r="J2" s="1080" t="s">
        <v>120</v>
      </c>
      <c r="K2" s="1080" t="s">
        <v>121</v>
      </c>
      <c r="L2" s="1080" t="s">
        <v>122</v>
      </c>
      <c r="M2" s="1080" t="s">
        <v>123</v>
      </c>
      <c r="N2" s="1080" t="s">
        <v>223</v>
      </c>
      <c r="O2" s="1080" t="s">
        <v>124</v>
      </c>
      <c r="P2" s="1080" t="s">
        <v>125</v>
      </c>
      <c r="Q2" s="1080" t="s">
        <v>126</v>
      </c>
      <c r="R2" s="1080" t="s">
        <v>127</v>
      </c>
      <c r="S2" s="1080" t="s">
        <v>128</v>
      </c>
      <c r="T2" s="1080" t="s">
        <v>129</v>
      </c>
      <c r="U2" s="1080" t="s">
        <v>130</v>
      </c>
      <c r="V2" s="1080" t="s">
        <v>131</v>
      </c>
      <c r="W2" s="1080" t="s">
        <v>132</v>
      </c>
      <c r="X2" s="1080" t="s">
        <v>133</v>
      </c>
      <c r="Y2" s="1080" t="s">
        <v>1</v>
      </c>
      <c r="Z2" s="1080" t="s">
        <v>134</v>
      </c>
      <c r="AA2" s="1080" t="s">
        <v>2</v>
      </c>
    </row>
    <row r="3" spans="1:27" s="1049" customFormat="1" ht="31.5" customHeight="1" thickBot="1" x14ac:dyDescent="0.35">
      <c r="A3" s="1081"/>
      <c r="B3" s="1046" t="s">
        <v>391</v>
      </c>
      <c r="C3" s="1046" t="s">
        <v>391</v>
      </c>
      <c r="D3" s="1046" t="s">
        <v>391</v>
      </c>
      <c r="E3" s="1046" t="s">
        <v>391</v>
      </c>
      <c r="F3" s="1046" t="s">
        <v>391</v>
      </c>
      <c r="G3" s="1046" t="s">
        <v>391</v>
      </c>
      <c r="H3" s="1046" t="s">
        <v>391</v>
      </c>
      <c r="I3" s="1046" t="s">
        <v>391</v>
      </c>
      <c r="J3" s="1046" t="s">
        <v>391</v>
      </c>
      <c r="K3" s="1046" t="s">
        <v>391</v>
      </c>
      <c r="L3" s="1046" t="s">
        <v>391</v>
      </c>
      <c r="M3" s="1046" t="s">
        <v>391</v>
      </c>
      <c r="N3" s="1046" t="s">
        <v>391</v>
      </c>
      <c r="O3" s="1046" t="s">
        <v>391</v>
      </c>
      <c r="P3" s="1046" t="s">
        <v>391</v>
      </c>
      <c r="Q3" s="1046" t="s">
        <v>391</v>
      </c>
      <c r="R3" s="1046" t="s">
        <v>391</v>
      </c>
      <c r="S3" s="1046" t="s">
        <v>391</v>
      </c>
      <c r="T3" s="1046" t="s">
        <v>391</v>
      </c>
      <c r="U3" s="1046" t="s">
        <v>391</v>
      </c>
      <c r="V3" s="1046" t="s">
        <v>391</v>
      </c>
      <c r="W3" s="1046" t="s">
        <v>391</v>
      </c>
      <c r="X3" s="1046" t="s">
        <v>391</v>
      </c>
      <c r="Y3" s="1046" t="s">
        <v>391</v>
      </c>
      <c r="Z3" s="1046" t="s">
        <v>391</v>
      </c>
      <c r="AA3" s="1046" t="s">
        <v>391</v>
      </c>
    </row>
    <row r="4" spans="1:27" x14ac:dyDescent="0.3">
      <c r="A4" s="1082" t="s">
        <v>194</v>
      </c>
      <c r="B4" s="1083">
        <v>50000</v>
      </c>
      <c r="C4" s="1083">
        <v>7000</v>
      </c>
      <c r="D4" s="1083"/>
      <c r="E4" s="1083"/>
      <c r="F4" s="1083">
        <v>6000</v>
      </c>
      <c r="G4" s="1083"/>
      <c r="H4" s="1083"/>
      <c r="I4" s="1083"/>
      <c r="J4" s="1083"/>
      <c r="K4" s="1083">
        <v>3000</v>
      </c>
      <c r="L4" s="1083">
        <v>95000</v>
      </c>
      <c r="M4" s="1083">
        <v>120000</v>
      </c>
      <c r="N4" s="1083"/>
      <c r="O4" s="1083">
        <v>22500</v>
      </c>
      <c r="P4" s="1083"/>
      <c r="Q4" s="1083">
        <v>49600</v>
      </c>
      <c r="R4" s="1083">
        <v>40000</v>
      </c>
      <c r="S4" s="1083"/>
      <c r="T4" s="1083"/>
      <c r="U4" s="1083"/>
      <c r="V4" s="1083"/>
      <c r="W4" s="1084"/>
      <c r="X4" s="1085">
        <v>48800</v>
      </c>
      <c r="Y4" s="1086">
        <f>SUM(B4:X4)</f>
        <v>441900</v>
      </c>
      <c r="Z4" s="1087">
        <v>0</v>
      </c>
      <c r="AA4" s="1086">
        <f>SUM(Y4+Z4)</f>
        <v>441900</v>
      </c>
    </row>
    <row r="5" spans="1:27" x14ac:dyDescent="0.3">
      <c r="A5" s="1088" t="s">
        <v>195</v>
      </c>
      <c r="B5" s="1089"/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89"/>
      <c r="T5" s="1089"/>
      <c r="U5" s="1089"/>
      <c r="V5" s="1089"/>
      <c r="W5" s="1090"/>
      <c r="X5" s="1091"/>
      <c r="Y5" s="1092">
        <f>SUM(B5:X5)</f>
        <v>0</v>
      </c>
      <c r="Z5" s="1093"/>
      <c r="AA5" s="1092"/>
    </row>
    <row r="6" spans="1:27" x14ac:dyDescent="0.3">
      <c r="A6" s="1088" t="s">
        <v>196</v>
      </c>
      <c r="B6" s="1089"/>
      <c r="C6" s="1089"/>
      <c r="D6" s="1089"/>
      <c r="E6" s="1089"/>
      <c r="F6" s="1089"/>
      <c r="G6" s="1089"/>
      <c r="H6" s="1089"/>
      <c r="I6" s="1089"/>
      <c r="J6" s="1089"/>
      <c r="K6" s="1089"/>
      <c r="L6" s="1089"/>
      <c r="M6" s="1089"/>
      <c r="N6" s="1089"/>
      <c r="O6" s="1089"/>
      <c r="P6" s="1089"/>
      <c r="Q6" s="1089"/>
      <c r="R6" s="1089"/>
      <c r="S6" s="1089"/>
      <c r="T6" s="1089"/>
      <c r="U6" s="1089"/>
      <c r="V6" s="1089"/>
      <c r="W6" s="1090"/>
      <c r="X6" s="1091"/>
      <c r="Y6" s="1092">
        <f>SUM(B6:X6)</f>
        <v>0</v>
      </c>
      <c r="Z6" s="1093"/>
      <c r="AA6" s="1092"/>
    </row>
    <row r="7" spans="1:27" ht="17.25" thickBot="1" x14ac:dyDescent="0.35">
      <c r="A7" s="1094" t="s">
        <v>74</v>
      </c>
      <c r="B7" s="1095"/>
      <c r="C7" s="1095"/>
      <c r="D7" s="1095"/>
      <c r="E7" s="1095"/>
      <c r="F7" s="1095"/>
      <c r="G7" s="1095"/>
      <c r="H7" s="1095"/>
      <c r="I7" s="1095"/>
      <c r="J7" s="1095"/>
      <c r="K7" s="1095"/>
      <c r="L7" s="1095"/>
      <c r="M7" s="1095"/>
      <c r="N7" s="1095"/>
      <c r="O7" s="1095"/>
      <c r="P7" s="1095"/>
      <c r="Q7" s="1095"/>
      <c r="R7" s="1095"/>
      <c r="S7" s="1095"/>
      <c r="T7" s="1095"/>
      <c r="U7" s="1095"/>
      <c r="V7" s="1095"/>
      <c r="W7" s="1096"/>
      <c r="X7" s="1097"/>
      <c r="Y7" s="1098">
        <f>SUM(B7:X7)</f>
        <v>0</v>
      </c>
      <c r="Z7" s="1099"/>
      <c r="AA7" s="1100"/>
    </row>
    <row r="8" spans="1:27" s="1105" customFormat="1" ht="18.75" thickBot="1" x14ac:dyDescent="0.4">
      <c r="A8" s="1101" t="s">
        <v>54</v>
      </c>
      <c r="B8" s="1102">
        <f>SUM(B4:B7)</f>
        <v>50000</v>
      </c>
      <c r="C8" s="1102">
        <f t="shared" ref="C8:AA8" si="0">SUM(C4:C7)</f>
        <v>7000</v>
      </c>
      <c r="D8" s="1102">
        <f t="shared" si="0"/>
        <v>0</v>
      </c>
      <c r="E8" s="1102">
        <f t="shared" si="0"/>
        <v>0</v>
      </c>
      <c r="F8" s="1102">
        <f t="shared" si="0"/>
        <v>6000</v>
      </c>
      <c r="G8" s="1102">
        <f t="shared" si="0"/>
        <v>0</v>
      </c>
      <c r="H8" s="1102">
        <f t="shared" si="0"/>
        <v>0</v>
      </c>
      <c r="I8" s="1102">
        <f t="shared" si="0"/>
        <v>0</v>
      </c>
      <c r="J8" s="1102">
        <f t="shared" si="0"/>
        <v>0</v>
      </c>
      <c r="K8" s="1102">
        <f t="shared" si="0"/>
        <v>3000</v>
      </c>
      <c r="L8" s="1102">
        <f t="shared" si="0"/>
        <v>95000</v>
      </c>
      <c r="M8" s="1102">
        <f t="shared" si="0"/>
        <v>120000</v>
      </c>
      <c r="N8" s="1102">
        <f t="shared" si="0"/>
        <v>0</v>
      </c>
      <c r="O8" s="1102">
        <f t="shared" si="0"/>
        <v>22500</v>
      </c>
      <c r="P8" s="1102">
        <f t="shared" si="0"/>
        <v>0</v>
      </c>
      <c r="Q8" s="1102">
        <f t="shared" si="0"/>
        <v>49600</v>
      </c>
      <c r="R8" s="1102">
        <f t="shared" si="0"/>
        <v>40000</v>
      </c>
      <c r="S8" s="1102">
        <f t="shared" si="0"/>
        <v>0</v>
      </c>
      <c r="T8" s="1102">
        <f t="shared" si="0"/>
        <v>0</v>
      </c>
      <c r="U8" s="1102">
        <f t="shared" si="0"/>
        <v>0</v>
      </c>
      <c r="V8" s="1102">
        <f t="shared" si="0"/>
        <v>0</v>
      </c>
      <c r="W8" s="1102">
        <f t="shared" si="0"/>
        <v>0</v>
      </c>
      <c r="X8" s="1103">
        <f t="shared" si="0"/>
        <v>48800</v>
      </c>
      <c r="Y8" s="1104">
        <f t="shared" si="0"/>
        <v>441900</v>
      </c>
      <c r="Z8" s="1102">
        <f t="shared" si="0"/>
        <v>0</v>
      </c>
      <c r="AA8" s="1102">
        <f t="shared" si="0"/>
        <v>441900</v>
      </c>
    </row>
  </sheetData>
  <mergeCells count="1">
    <mergeCell ref="A2:A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dcterms:created xsi:type="dcterms:W3CDTF">2019-02-21T06:27:16Z</dcterms:created>
  <dcterms:modified xsi:type="dcterms:W3CDTF">2023-04-18T05:35:11Z</dcterms:modified>
</cp:coreProperties>
</file>